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L.C1" sheetId="2" r:id="rId2"/>
    <sheet name="L.C2" sheetId="4" r:id="rId3"/>
    <sheet name="L.C3" sheetId="7" r:id="rId4"/>
    <sheet name="L.C4" sheetId="6" r:id="rId5"/>
  </sheets>
  <definedNames>
    <definedName name="_1.2W1" localSheetId="2">L.C2!$E$3</definedName>
    <definedName name="_1.2W1">L.C1!$E$3</definedName>
    <definedName name="_1.2W2" localSheetId="2">L.C2!$F$3</definedName>
    <definedName name="_1.2W2">L.C1!$F$3</definedName>
    <definedName name="Ax" localSheetId="1">L.C1!$C$114</definedName>
    <definedName name="Ax" localSheetId="2">L.C2!$C$114</definedName>
    <definedName name="Ax" localSheetId="3">L.C3!$C$114</definedName>
    <definedName name="Ax" localSheetId="4">L.C4!$C$114</definedName>
    <definedName name="Axx" localSheetId="1">L.C1!$B$130</definedName>
    <definedName name="Axx" localSheetId="2">L.C2!$B$130</definedName>
    <definedName name="Axx" localSheetId="3">L.C3!$B$130</definedName>
    <definedName name="Axx" localSheetId="4">L.C4!$B$130</definedName>
    <definedName name="Ayy" localSheetId="1">L.C1!$B$128</definedName>
    <definedName name="Ayy" localSheetId="2">L.C2!$B$128</definedName>
    <definedName name="Ayy" localSheetId="3">L.C3!$B$128</definedName>
    <definedName name="Ayy" localSheetId="4">L.C4!$B$128</definedName>
    <definedName name="Dx" localSheetId="1">L.C1!$O$114</definedName>
    <definedName name="Dx" localSheetId="2">L.C2!$O$114</definedName>
    <definedName name="Dx" localSheetId="3">L.C3!$O$114</definedName>
    <definedName name="Dx" localSheetId="4">L.C4!$O$114</definedName>
    <definedName name="Dy" localSheetId="1">L.C1!$O$122</definedName>
    <definedName name="Dy" localSheetId="2">L.C2!$O$122</definedName>
    <definedName name="Dy" localSheetId="3">L.C3!$O$122</definedName>
    <definedName name="Dy" localSheetId="4">L.C4!$O$122</definedName>
    <definedName name="EI">Sheet1!$J$4</definedName>
    <definedName name="Fx" localSheetId="1">L.C1!$P$114</definedName>
    <definedName name="Fx" localSheetId="2">L.C2!$P$114</definedName>
    <definedName name="Fx" localSheetId="3">L.C3!$P$114</definedName>
    <definedName name="Fx" localSheetId="4">L.C4!$P$114</definedName>
    <definedName name="Fy" localSheetId="1">L.C1!$P$122</definedName>
    <definedName name="Fy" localSheetId="2">L.C2!$P$122</definedName>
    <definedName name="Fy" localSheetId="3">L.C3!$P$122</definedName>
    <definedName name="Fy" localSheetId="4">L.C4!$P$122</definedName>
    <definedName name="H1_">Sheet1!$E$4</definedName>
    <definedName name="Hxx" localSheetId="1">L.C1!$N$130</definedName>
    <definedName name="Hxx" localSheetId="2">L.C2!$N$130</definedName>
    <definedName name="Hxx" localSheetId="3">L.C3!$N$130</definedName>
    <definedName name="Hxx" localSheetId="4">L.C4!$N$130</definedName>
    <definedName name="Hyy" localSheetId="1">L.C1!$N$128</definedName>
    <definedName name="Hyy" localSheetId="2">L.C2!$N$128</definedName>
    <definedName name="Hyy" localSheetId="3">L.C3!$N$128</definedName>
    <definedName name="Hyy" localSheetId="4">L.C4!$N$128</definedName>
    <definedName name="K_AB" localSheetId="2">L.C2!$D$17</definedName>
    <definedName name="K_AB" localSheetId="3">L.C3!$D$17</definedName>
    <definedName name="K_AB" localSheetId="4">L.C4!$D$17</definedName>
    <definedName name="K_AB">L.C1!$D$17</definedName>
    <definedName name="K_BC" localSheetId="2">L.C2!$F$17</definedName>
    <definedName name="K_BC" localSheetId="3">L.C3!$F$17</definedName>
    <definedName name="K_BC" localSheetId="4">L.C4!$F$17</definedName>
    <definedName name="K_BC">L.C1!$F$17</definedName>
    <definedName name="K_CD" localSheetId="2">L.C2!$O$17</definedName>
    <definedName name="K_CD" localSheetId="3">L.C3!$O$17</definedName>
    <definedName name="K_CD" localSheetId="4">L.C4!$O$17</definedName>
    <definedName name="K_CD">L.C1!$O$17</definedName>
    <definedName name="K_CE" localSheetId="2">L.C2!$I$17</definedName>
    <definedName name="K_CE" localSheetId="3">L.C3!$I$17</definedName>
    <definedName name="K_CE" localSheetId="4">L.C4!$I$17</definedName>
    <definedName name="K_CE">L.C1!$I$17</definedName>
    <definedName name="K_EF" localSheetId="2">L.C2!$P$17</definedName>
    <definedName name="K_EF" localSheetId="3">L.C3!$P$17</definedName>
    <definedName name="K_EF" localSheetId="4">L.C4!$P$17</definedName>
    <definedName name="K_EF">L.C1!$P$17</definedName>
    <definedName name="K_EG" localSheetId="2">L.C2!$L$17</definedName>
    <definedName name="K_EG" localSheetId="3">L.C3!$L$17</definedName>
    <definedName name="K_EG" localSheetId="4">L.C4!$L$17</definedName>
    <definedName name="K_EG">L.C1!$L$17</definedName>
    <definedName name="K_GH" localSheetId="2">L.C2!$N$17</definedName>
    <definedName name="K_GH" localSheetId="3">L.C3!$N$17</definedName>
    <definedName name="K_GH" localSheetId="4">L.C4!$N$17</definedName>
    <definedName name="K_GH">L.C1!$N$17</definedName>
    <definedName name="L_AB" localSheetId="2">L.C2!$C$8</definedName>
    <definedName name="L_AB" localSheetId="3">L.C3!$C$8</definedName>
    <definedName name="L_AB" localSheetId="4">L.C4!$C$8</definedName>
    <definedName name="L_AB">L.C1!$C$8</definedName>
    <definedName name="L_BC" localSheetId="2">L.C2!$D$8</definedName>
    <definedName name="L_BC" localSheetId="3">L.C3!$D$8</definedName>
    <definedName name="L_BC" localSheetId="4">L.C4!$D$8</definedName>
    <definedName name="L_BC">L.C1!$D$8</definedName>
    <definedName name="L_CD" localSheetId="2">L.C2!$E$8</definedName>
    <definedName name="L_CD" localSheetId="3">L.C3!$E$8</definedName>
    <definedName name="L_CD" localSheetId="4">L.C4!$E$8</definedName>
    <definedName name="L_CD">L.C1!$E$8</definedName>
    <definedName name="L_CE" localSheetId="2">L.C2!$F$8</definedName>
    <definedName name="L_CE" localSheetId="3">L.C3!$F$8</definedName>
    <definedName name="L_CE" localSheetId="4">L.C4!$F$8</definedName>
    <definedName name="L_CE">L.C1!$F$8</definedName>
    <definedName name="L_EF" localSheetId="2">L.C2!$G$8</definedName>
    <definedName name="L_EF" localSheetId="3">L.C3!$G$8</definedName>
    <definedName name="L_EF" localSheetId="4">L.C4!$G$8</definedName>
    <definedName name="L_EF">L.C1!$G$8</definedName>
    <definedName name="L_EG" localSheetId="2">L.C2!$H$8</definedName>
    <definedName name="L_EG" localSheetId="3">L.C3!$H$8</definedName>
    <definedName name="L_EG" localSheetId="4">L.C4!$H$8</definedName>
    <definedName name="L_EG">L.C1!$H$8</definedName>
    <definedName name="L_GH" localSheetId="2">L.C2!$I$8</definedName>
    <definedName name="L_GH" localSheetId="3">L.C3!$I$8</definedName>
    <definedName name="L_GH" localSheetId="4">L.C4!$I$8</definedName>
    <definedName name="L_GH">L.C1!$I$8</definedName>
    <definedName name="LW">Sheet1!$F$4</definedName>
    <definedName name="LW_x" localSheetId="1">L.C1!$D$130</definedName>
    <definedName name="LW_x" localSheetId="2">L.C2!$L$130</definedName>
    <definedName name="LW_x" localSheetId="3">L.C3!$D$130</definedName>
    <definedName name="LW_x" localSheetId="4">L.C4!$D$130</definedName>
    <definedName name="LW_y" localSheetId="1">L.C1!$D$128</definedName>
    <definedName name="LW_y" localSheetId="2">L.C2!$L$128</definedName>
    <definedName name="LW_y" localSheetId="3">L.C3!$D$128</definedName>
    <definedName name="LW_y" localSheetId="4">L.C4!$D$128</definedName>
    <definedName name="Mab" localSheetId="1">L.C1!$C$109</definedName>
    <definedName name="Mab" localSheetId="2">L.C2!$C$109</definedName>
    <definedName name="Mab" localSheetId="3">L.C3!$C$109</definedName>
    <definedName name="Mab" localSheetId="4">L.C4!$C$109</definedName>
    <definedName name="Mbc" localSheetId="1">L.C1!$E$109</definedName>
    <definedName name="Mbc" localSheetId="2">L.C2!$E$109</definedName>
    <definedName name="Mbc" localSheetId="3">L.C3!$E$109</definedName>
    <definedName name="Mbc" localSheetId="4">L.C4!$E$109</definedName>
    <definedName name="Mce" localSheetId="1">L.C1!$H$109</definedName>
    <definedName name="Mce" localSheetId="2">L.C2!$H$109</definedName>
    <definedName name="Mce" localSheetId="3">L.C3!$H$109</definedName>
    <definedName name="Mce" localSheetId="4">L.C4!$H$109</definedName>
    <definedName name="Meg" localSheetId="1">L.C1!$K$109</definedName>
    <definedName name="Meg" localSheetId="2">L.C2!$K$109</definedName>
    <definedName name="Meg" localSheetId="3">L.C3!$K$109</definedName>
    <definedName name="Meg" localSheetId="4">L.C4!$K$109</definedName>
    <definedName name="Mhg" localSheetId="1">L.C1!$N$109</definedName>
    <definedName name="Mhg" localSheetId="2">L.C2!$N$109</definedName>
    <definedName name="Mhg" localSheetId="3">L.C3!$N$109</definedName>
    <definedName name="Mhg" localSheetId="4">L.C4!$N$109</definedName>
    <definedName name="n">L.C1!$AA$132</definedName>
    <definedName name="S1_">Sheet1!$B$4</definedName>
    <definedName name="S2_">Sheet1!$C$4</definedName>
    <definedName name="S3_">Sheet1!$D$4</definedName>
    <definedName name="Vbc" localSheetId="1">L.C1!$E$111</definedName>
    <definedName name="Vbc" localSheetId="2">L.C2!$E$111</definedName>
    <definedName name="Vbc" localSheetId="3">L.C3!$E$111</definedName>
    <definedName name="Vbc" localSheetId="4">L.C4!$E$111</definedName>
    <definedName name="Vce" localSheetId="1">L.C1!$H$111</definedName>
    <definedName name="Vce" localSheetId="2">L.C2!$H$111</definedName>
    <definedName name="Vce" localSheetId="3">L.C3!$H$111</definedName>
    <definedName name="Vce" localSheetId="4">L.C4!$H$111</definedName>
    <definedName name="Veg" localSheetId="1">L.C1!$K$111</definedName>
    <definedName name="Veg" localSheetId="2">L.C2!$K$111</definedName>
    <definedName name="Veg" localSheetId="3">L.C3!$K$111</definedName>
    <definedName name="Veg" localSheetId="4">L.C4!$K$111</definedName>
    <definedName name="W1_">Sheet1!$G$4</definedName>
    <definedName name="W2_">Sheet1!$H$4</definedName>
  </definedNames>
  <calcPr calcId="144525"/>
</workbook>
</file>

<file path=xl/calcChain.xml><?xml version="1.0" encoding="utf-8"?>
<calcChain xmlns="http://schemas.openxmlformats.org/spreadsheetml/2006/main">
  <c r="BU123" i="2" l="1"/>
  <c r="BU124" i="2"/>
  <c r="BU125" i="2"/>
  <c r="BU126" i="2"/>
  <c r="BU127" i="2"/>
  <c r="BU128" i="2"/>
  <c r="BU129" i="2"/>
  <c r="BU130" i="2"/>
  <c r="BU122" i="2"/>
  <c r="C201" i="7" l="1"/>
  <c r="C63" i="2"/>
  <c r="D62" i="2"/>
  <c r="C40" i="2"/>
  <c r="G17" i="2"/>
  <c r="J4" i="1" l="1"/>
  <c r="P155" i="6"/>
  <c r="O155" i="6"/>
  <c r="O154" i="6"/>
  <c r="P108" i="6"/>
  <c r="O108" i="6"/>
  <c r="P107" i="6"/>
  <c r="O107" i="6"/>
  <c r="L72" i="6"/>
  <c r="K72" i="6"/>
  <c r="F72" i="6"/>
  <c r="E72" i="6"/>
  <c r="L62" i="6"/>
  <c r="L63" i="6" s="1"/>
  <c r="K62" i="6"/>
  <c r="K63" i="6" s="1"/>
  <c r="F62" i="6"/>
  <c r="F63" i="6" s="1"/>
  <c r="E62" i="6"/>
  <c r="E63" i="6" s="1"/>
  <c r="I57" i="6"/>
  <c r="N62" i="6" s="1"/>
  <c r="N63" i="6" s="1"/>
  <c r="G57" i="6"/>
  <c r="J63" i="6" s="1"/>
  <c r="F57" i="6"/>
  <c r="E57" i="6"/>
  <c r="G63" i="6" s="1"/>
  <c r="C57" i="6"/>
  <c r="D63" i="6" s="1"/>
  <c r="F52" i="6"/>
  <c r="E52" i="6"/>
  <c r="D52" i="6"/>
  <c r="L17" i="6"/>
  <c r="K17" i="6"/>
  <c r="F17" i="6"/>
  <c r="E17" i="6"/>
  <c r="I8" i="6"/>
  <c r="D128" i="6" s="1"/>
  <c r="G8" i="6"/>
  <c r="F8" i="6"/>
  <c r="E8" i="6"/>
  <c r="O17" i="6" s="1"/>
  <c r="C8" i="6"/>
  <c r="D17" i="6" s="1"/>
  <c r="D18" i="6" s="1"/>
  <c r="F3" i="6"/>
  <c r="K19" i="6" s="1"/>
  <c r="E3" i="6"/>
  <c r="M14" i="6" s="1"/>
  <c r="D3" i="6"/>
  <c r="M19" i="6" s="1"/>
  <c r="E8" i="7"/>
  <c r="O155" i="7"/>
  <c r="P155" i="7"/>
  <c r="O154" i="7"/>
  <c r="E18" i="6" l="1"/>
  <c r="G17" i="6"/>
  <c r="E19" i="6"/>
  <c r="D130" i="6"/>
  <c r="N19" i="6"/>
  <c r="B40" i="6"/>
  <c r="M72" i="6"/>
  <c r="M73" i="6" s="1"/>
  <c r="N72" i="6"/>
  <c r="I17" i="6"/>
  <c r="H19" i="6"/>
  <c r="O72" i="6"/>
  <c r="G72" i="6"/>
  <c r="P72" i="6"/>
  <c r="J72" i="6"/>
  <c r="H17" i="6"/>
  <c r="J17" i="6"/>
  <c r="N17" i="6"/>
  <c r="P17" i="6"/>
  <c r="D20" i="6"/>
  <c r="C21" i="6" s="1"/>
  <c r="F19" i="6"/>
  <c r="I19" i="6"/>
  <c r="L19" i="6"/>
  <c r="C62" i="6"/>
  <c r="M62" i="6"/>
  <c r="M63" i="6" s="1"/>
  <c r="C63" i="6"/>
  <c r="C72" i="6"/>
  <c r="D72" i="6"/>
  <c r="D73" i="6" s="1"/>
  <c r="I72" i="6"/>
  <c r="I73" i="6" s="1"/>
  <c r="H72" i="6"/>
  <c r="C17" i="6"/>
  <c r="M17" i="6"/>
  <c r="D62" i="6"/>
  <c r="E73" i="6"/>
  <c r="K73" i="6"/>
  <c r="BP130" i="4"/>
  <c r="BP129" i="4"/>
  <c r="BP128" i="4"/>
  <c r="BP127" i="4"/>
  <c r="BP126" i="4"/>
  <c r="BI126" i="4"/>
  <c r="BP125" i="4"/>
  <c r="BI125" i="4"/>
  <c r="BP124" i="4"/>
  <c r="BI124" i="4"/>
  <c r="BP123" i="4"/>
  <c r="BI123" i="4"/>
  <c r="BP122" i="4"/>
  <c r="BI122" i="4"/>
  <c r="BS123" i="2"/>
  <c r="BS124" i="2"/>
  <c r="BS125" i="2"/>
  <c r="BS126" i="2"/>
  <c r="BS127" i="2"/>
  <c r="BS128" i="2"/>
  <c r="BS129" i="2"/>
  <c r="BS130" i="2"/>
  <c r="BS122" i="2"/>
  <c r="BL123" i="2"/>
  <c r="BL124" i="2"/>
  <c r="BL125" i="2"/>
  <c r="BL126" i="2"/>
  <c r="BL122" i="2"/>
  <c r="F52" i="7"/>
  <c r="E52" i="7"/>
  <c r="F3" i="7"/>
  <c r="E19" i="7" s="1"/>
  <c r="E3" i="7"/>
  <c r="M14" i="7" s="1"/>
  <c r="P108" i="7"/>
  <c r="O108" i="7"/>
  <c r="P107" i="7"/>
  <c r="O107" i="7"/>
  <c r="L72" i="7"/>
  <c r="K72" i="7"/>
  <c r="F72" i="7"/>
  <c r="E72" i="7"/>
  <c r="L62" i="7"/>
  <c r="L63" i="7" s="1"/>
  <c r="K62" i="7"/>
  <c r="K63" i="7" s="1"/>
  <c r="F62" i="7"/>
  <c r="F63" i="7" s="1"/>
  <c r="E62" i="7"/>
  <c r="E63" i="7" s="1"/>
  <c r="I57" i="7"/>
  <c r="G57" i="7"/>
  <c r="J63" i="7" s="1"/>
  <c r="F57" i="7"/>
  <c r="E57" i="7"/>
  <c r="G63" i="7" s="1"/>
  <c r="C57" i="7"/>
  <c r="D63" i="7" s="1"/>
  <c r="L17" i="7"/>
  <c r="K17" i="7"/>
  <c r="F17" i="7"/>
  <c r="E17" i="7"/>
  <c r="I8" i="7"/>
  <c r="G8" i="7"/>
  <c r="P17" i="7" s="1"/>
  <c r="F8" i="7"/>
  <c r="C8" i="7"/>
  <c r="H73" i="6" l="1"/>
  <c r="H18" i="6"/>
  <c r="L73" i="6"/>
  <c r="J18" i="6"/>
  <c r="D17" i="7"/>
  <c r="N17" i="7"/>
  <c r="C62" i="7"/>
  <c r="D72" i="7"/>
  <c r="D73" i="7" s="1"/>
  <c r="N72" i="7"/>
  <c r="H17" i="7"/>
  <c r="N62" i="7"/>
  <c r="N63" i="7" s="1"/>
  <c r="M62" i="7"/>
  <c r="M63" i="7" s="1"/>
  <c r="C63" i="7"/>
  <c r="H72" i="7"/>
  <c r="F73" i="6"/>
  <c r="J20" i="6"/>
  <c r="J73" i="6"/>
  <c r="G73" i="6"/>
  <c r="I18" i="6"/>
  <c r="K18" i="6"/>
  <c r="G18" i="6"/>
  <c r="L18" i="6"/>
  <c r="L20" i="6" s="1"/>
  <c r="M18" i="6"/>
  <c r="M20" i="6" s="1"/>
  <c r="H20" i="6"/>
  <c r="I21" i="6" s="1"/>
  <c r="F18" i="6"/>
  <c r="C65" i="6"/>
  <c r="C64" i="6" s="1"/>
  <c r="C74" i="6" s="1"/>
  <c r="E20" i="6"/>
  <c r="E18" i="7"/>
  <c r="D18" i="7"/>
  <c r="J17" i="7"/>
  <c r="I19" i="7"/>
  <c r="K19" i="7"/>
  <c r="H19" i="7"/>
  <c r="O72" i="7"/>
  <c r="G72" i="7"/>
  <c r="G73" i="7" s="1"/>
  <c r="O17" i="7"/>
  <c r="G17" i="7"/>
  <c r="G18" i="7" s="1"/>
  <c r="H18" i="7"/>
  <c r="F19" i="7"/>
  <c r="L19" i="7"/>
  <c r="J72" i="7"/>
  <c r="P72" i="7"/>
  <c r="C17" i="7"/>
  <c r="I17" i="7"/>
  <c r="M17" i="7"/>
  <c r="M18" i="7" s="1"/>
  <c r="D62" i="7"/>
  <c r="C72" i="7"/>
  <c r="I72" i="7"/>
  <c r="M72" i="7"/>
  <c r="M73" i="7" s="1"/>
  <c r="N19" i="4"/>
  <c r="M19" i="4"/>
  <c r="BJ156" i="4"/>
  <c r="AH156" i="4"/>
  <c r="BJ155" i="4"/>
  <c r="AH155" i="4"/>
  <c r="BJ154" i="4"/>
  <c r="AH154" i="4"/>
  <c r="BJ153" i="4"/>
  <c r="AH153" i="4"/>
  <c r="BJ152" i="4"/>
  <c r="AH152" i="4"/>
  <c r="BJ151" i="4"/>
  <c r="AH151" i="4"/>
  <c r="BJ150" i="4"/>
  <c r="AH150" i="4"/>
  <c r="BJ149" i="4"/>
  <c r="AH149" i="4"/>
  <c r="BJ148" i="4"/>
  <c r="AH148" i="4"/>
  <c r="BJ147" i="4"/>
  <c r="AH147" i="4"/>
  <c r="BJ146" i="4"/>
  <c r="AH146" i="4"/>
  <c r="BJ145" i="4"/>
  <c r="AH145" i="4"/>
  <c r="BJ144" i="4"/>
  <c r="AH144" i="4"/>
  <c r="BJ143" i="4"/>
  <c r="AH143" i="4"/>
  <c r="BJ142" i="4"/>
  <c r="AH142" i="4"/>
  <c r="BJ141" i="4"/>
  <c r="AH141" i="4"/>
  <c r="BJ140" i="4"/>
  <c r="AH140" i="4"/>
  <c r="BJ139" i="4"/>
  <c r="AH139" i="4"/>
  <c r="BJ138" i="4"/>
  <c r="AH138" i="4"/>
  <c r="BJ137" i="4"/>
  <c r="AH137" i="4"/>
  <c r="P108" i="4"/>
  <c r="O108" i="4"/>
  <c r="P107" i="4"/>
  <c r="O107" i="4"/>
  <c r="L72" i="4"/>
  <c r="K72" i="4"/>
  <c r="F72" i="4"/>
  <c r="E72" i="4"/>
  <c r="L62" i="4"/>
  <c r="L63" i="4" s="1"/>
  <c r="K62" i="4"/>
  <c r="K63" i="4" s="1"/>
  <c r="F62" i="4"/>
  <c r="F63" i="4" s="1"/>
  <c r="E62" i="4"/>
  <c r="E63" i="4" s="1"/>
  <c r="I57" i="4"/>
  <c r="N62" i="4" s="1"/>
  <c r="N63" i="4" s="1"/>
  <c r="G57" i="4"/>
  <c r="J63" i="4" s="1"/>
  <c r="F57" i="4"/>
  <c r="E57" i="4"/>
  <c r="G63" i="4" s="1"/>
  <c r="C57" i="4"/>
  <c r="D63" i="4" s="1"/>
  <c r="F52" i="4"/>
  <c r="E52" i="4"/>
  <c r="D52" i="4"/>
  <c r="L17" i="4"/>
  <c r="K17" i="4"/>
  <c r="F17" i="4"/>
  <c r="E17" i="4"/>
  <c r="I8" i="4"/>
  <c r="G8" i="4"/>
  <c r="F8" i="4"/>
  <c r="H17" i="4" s="1"/>
  <c r="E8" i="4"/>
  <c r="C8" i="4"/>
  <c r="D72" i="4" s="1"/>
  <c r="F3" i="4"/>
  <c r="E3" i="4"/>
  <c r="D3" i="4"/>
  <c r="B40" i="4" s="1"/>
  <c r="C65" i="7" l="1"/>
  <c r="H64" i="7" s="1"/>
  <c r="H74" i="7" s="1"/>
  <c r="L128" i="4"/>
  <c r="L130" i="4"/>
  <c r="M64" i="6"/>
  <c r="M74" i="6" s="1"/>
  <c r="M14" i="4"/>
  <c r="BQ130" i="4"/>
  <c r="BR129" i="4"/>
  <c r="BQ128" i="4"/>
  <c r="BR127" i="4"/>
  <c r="BQ126" i="4"/>
  <c r="BJ126" i="4"/>
  <c r="BH126" i="4"/>
  <c r="BQ125" i="4"/>
  <c r="BJ125" i="4"/>
  <c r="BH125" i="4"/>
  <c r="BQ124" i="4"/>
  <c r="BJ124" i="4"/>
  <c r="BH124" i="4"/>
  <c r="BQ123" i="4"/>
  <c r="BJ123" i="4"/>
  <c r="BH123" i="4"/>
  <c r="BQ122" i="4"/>
  <c r="BJ122" i="4"/>
  <c r="BH122" i="4"/>
  <c r="BR130" i="4"/>
  <c r="BQ129" i="4"/>
  <c r="BR128" i="4"/>
  <c r="BQ127" i="4"/>
  <c r="BR126" i="4"/>
  <c r="BR125" i="4"/>
  <c r="BR124" i="4"/>
  <c r="BR123" i="4"/>
  <c r="BR122" i="4"/>
  <c r="F73" i="7"/>
  <c r="E73" i="7"/>
  <c r="N21" i="6"/>
  <c r="K21" i="6"/>
  <c r="K22" i="6" s="1"/>
  <c r="L23" i="6" s="1"/>
  <c r="F21" i="6"/>
  <c r="F20" i="6"/>
  <c r="K20" i="6"/>
  <c r="P64" i="6"/>
  <c r="P74" i="6" s="1"/>
  <c r="H64" i="6"/>
  <c r="H74" i="6" s="1"/>
  <c r="O64" i="6"/>
  <c r="O74" i="6" s="1"/>
  <c r="I64" i="6"/>
  <c r="I74" i="6" s="1"/>
  <c r="D64" i="6"/>
  <c r="D74" i="6" s="1"/>
  <c r="G64" i="6"/>
  <c r="G74" i="6" s="1"/>
  <c r="K64" i="6"/>
  <c r="K74" i="6" s="1"/>
  <c r="L64" i="6"/>
  <c r="L74" i="6" s="1"/>
  <c r="N64" i="6"/>
  <c r="N74" i="6" s="1"/>
  <c r="F64" i="6"/>
  <c r="F74" i="6" s="1"/>
  <c r="F75" i="6" s="1"/>
  <c r="E76" i="6" s="1"/>
  <c r="J64" i="6"/>
  <c r="J74" i="6" s="1"/>
  <c r="E64" i="6"/>
  <c r="E74" i="6" s="1"/>
  <c r="G20" i="6"/>
  <c r="I22" i="6"/>
  <c r="H23" i="6" s="1"/>
  <c r="I20" i="6"/>
  <c r="G75" i="6"/>
  <c r="G20" i="7"/>
  <c r="D64" i="7"/>
  <c r="D74" i="7" s="1"/>
  <c r="F64" i="7"/>
  <c r="F74" i="7" s="1"/>
  <c r="O64" i="7"/>
  <c r="O74" i="7" s="1"/>
  <c r="L64" i="7"/>
  <c r="L74" i="7" s="1"/>
  <c r="M64" i="7"/>
  <c r="M74" i="7" s="1"/>
  <c r="C64" i="7"/>
  <c r="C74" i="7" s="1"/>
  <c r="K73" i="7"/>
  <c r="I73" i="7"/>
  <c r="L73" i="7"/>
  <c r="H20" i="7"/>
  <c r="I21" i="7" s="1"/>
  <c r="J18" i="7"/>
  <c r="I18" i="7"/>
  <c r="K18" i="7"/>
  <c r="J73" i="7"/>
  <c r="M20" i="7"/>
  <c r="H73" i="7"/>
  <c r="L18" i="7"/>
  <c r="L20" i="7" s="1"/>
  <c r="F18" i="7"/>
  <c r="N17" i="4"/>
  <c r="M62" i="4"/>
  <c r="M63" i="4" s="1"/>
  <c r="C62" i="4"/>
  <c r="C63" i="4"/>
  <c r="D73" i="4"/>
  <c r="E73" i="4"/>
  <c r="AO156" i="4"/>
  <c r="AO154" i="4"/>
  <c r="AO152" i="4"/>
  <c r="AO155" i="4"/>
  <c r="AO153" i="4"/>
  <c r="AO151" i="4"/>
  <c r="AO149" i="4"/>
  <c r="AO147" i="4"/>
  <c r="AO145" i="4"/>
  <c r="AO148" i="4"/>
  <c r="AO144" i="4"/>
  <c r="AO142" i="4"/>
  <c r="AO140" i="4"/>
  <c r="AO138" i="4"/>
  <c r="AO150" i="4"/>
  <c r="AO143" i="4"/>
  <c r="AO139" i="4"/>
  <c r="O72" i="4"/>
  <c r="G72" i="4"/>
  <c r="AO146" i="4"/>
  <c r="AO141" i="4"/>
  <c r="AO137" i="4"/>
  <c r="BC156" i="4"/>
  <c r="BC154" i="4"/>
  <c r="BC152" i="4"/>
  <c r="BC155" i="4"/>
  <c r="BC153" i="4"/>
  <c r="BC151" i="4"/>
  <c r="BC149" i="4"/>
  <c r="BC147" i="4"/>
  <c r="BC145" i="4"/>
  <c r="BC148" i="4"/>
  <c r="BC144" i="4"/>
  <c r="BC142" i="4"/>
  <c r="BC140" i="4"/>
  <c r="BC138" i="4"/>
  <c r="BC150" i="4"/>
  <c r="BC143" i="4"/>
  <c r="BC139" i="4"/>
  <c r="BC146" i="4"/>
  <c r="BC141" i="4"/>
  <c r="BC137" i="4"/>
  <c r="D17" i="4"/>
  <c r="D18" i="4" s="1"/>
  <c r="J17" i="4"/>
  <c r="P17" i="4"/>
  <c r="F19" i="4"/>
  <c r="I19" i="4"/>
  <c r="L19" i="4"/>
  <c r="J72" i="4"/>
  <c r="P72" i="4"/>
  <c r="AA156" i="4"/>
  <c r="AA154" i="4"/>
  <c r="AA152" i="4"/>
  <c r="AA155" i="4"/>
  <c r="AA153" i="4"/>
  <c r="AA151" i="4"/>
  <c r="AA149" i="4"/>
  <c r="AA147" i="4"/>
  <c r="AA145" i="4"/>
  <c r="AA148" i="4"/>
  <c r="AA144" i="4"/>
  <c r="AA142" i="4"/>
  <c r="AA140" i="4"/>
  <c r="AA138" i="4"/>
  <c r="AA150" i="4"/>
  <c r="AA143" i="4"/>
  <c r="AA139" i="4"/>
  <c r="C72" i="4"/>
  <c r="AA146" i="4"/>
  <c r="AA141" i="4"/>
  <c r="AA137" i="4"/>
  <c r="AV156" i="4"/>
  <c r="AV154" i="4"/>
  <c r="AV152" i="4"/>
  <c r="AV155" i="4"/>
  <c r="AV153" i="4"/>
  <c r="AV151" i="4"/>
  <c r="AV149" i="4"/>
  <c r="AV147" i="4"/>
  <c r="AV145" i="4"/>
  <c r="AV148" i="4"/>
  <c r="AV144" i="4"/>
  <c r="AV142" i="4"/>
  <c r="AV140" i="4"/>
  <c r="AV138" i="4"/>
  <c r="AV146" i="4"/>
  <c r="AV143" i="4"/>
  <c r="AV139" i="4"/>
  <c r="I72" i="4"/>
  <c r="AV150" i="4"/>
  <c r="AV141" i="4"/>
  <c r="AV137" i="4"/>
  <c r="BR155" i="4"/>
  <c r="BR153" i="4"/>
  <c r="BP153" i="4" s="1"/>
  <c r="BR151" i="4"/>
  <c r="BR156" i="4"/>
  <c r="BP156" i="4" s="1"/>
  <c r="BP155" i="4"/>
  <c r="BR154" i="4"/>
  <c r="BP154" i="4" s="1"/>
  <c r="BR152" i="4"/>
  <c r="BP152" i="4" s="1"/>
  <c r="BP151" i="4"/>
  <c r="BR150" i="4"/>
  <c r="BR148" i="4"/>
  <c r="BR146" i="4"/>
  <c r="BP146" i="4" s="1"/>
  <c r="BR144" i="4"/>
  <c r="BP150" i="4"/>
  <c r="BP148" i="4"/>
  <c r="BR147" i="4"/>
  <c r="BP147" i="4" s="1"/>
  <c r="BP144" i="4"/>
  <c r="BR143" i="4"/>
  <c r="BP143" i="4" s="1"/>
  <c r="BR141" i="4"/>
  <c r="BR139" i="4"/>
  <c r="BP139" i="4" s="1"/>
  <c r="BR137" i="4"/>
  <c r="BR145" i="4"/>
  <c r="BP145" i="4" s="1"/>
  <c r="BR142" i="4"/>
  <c r="BP142" i="4" s="1"/>
  <c r="BR138" i="4"/>
  <c r="BP138" i="4" s="1"/>
  <c r="M72" i="4"/>
  <c r="M73" i="4" s="1"/>
  <c r="BR149" i="4"/>
  <c r="BP149" i="4" s="1"/>
  <c r="BP141" i="4"/>
  <c r="BR140" i="4"/>
  <c r="BP140" i="4" s="1"/>
  <c r="BP137" i="4"/>
  <c r="BR136" i="4"/>
  <c r="BP136" i="4" s="1"/>
  <c r="C17" i="4"/>
  <c r="G17" i="4"/>
  <c r="G18" i="4" s="1"/>
  <c r="I17" i="4"/>
  <c r="I18" i="4" s="1"/>
  <c r="M17" i="4"/>
  <c r="M18" i="4" s="1"/>
  <c r="O17" i="4"/>
  <c r="E19" i="4"/>
  <c r="H19" i="4"/>
  <c r="K19" i="4"/>
  <c r="C65" i="4"/>
  <c r="H72" i="4"/>
  <c r="H73" i="4" s="1"/>
  <c r="N72" i="4"/>
  <c r="D62" i="4"/>
  <c r="BJ138" i="2"/>
  <c r="BJ139" i="2"/>
  <c r="BJ140" i="2"/>
  <c r="BJ141" i="2"/>
  <c r="BJ142" i="2"/>
  <c r="BJ143" i="2"/>
  <c r="BJ144" i="2"/>
  <c r="BJ145" i="2"/>
  <c r="BJ146" i="2"/>
  <c r="BJ147" i="2"/>
  <c r="BJ148" i="2"/>
  <c r="BJ149" i="2"/>
  <c r="BJ150" i="2"/>
  <c r="BJ151" i="2"/>
  <c r="BJ152" i="2"/>
  <c r="BJ153" i="2"/>
  <c r="BJ154" i="2"/>
  <c r="BJ155" i="2"/>
  <c r="BJ156" i="2"/>
  <c r="BJ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37" i="2"/>
  <c r="M75" i="7" l="1"/>
  <c r="N76" i="7" s="1"/>
  <c r="L75" i="7"/>
  <c r="K76" i="7" s="1"/>
  <c r="E64" i="7"/>
  <c r="E74" i="7" s="1"/>
  <c r="J64" i="7"/>
  <c r="J74" i="7" s="1"/>
  <c r="N64" i="7"/>
  <c r="N74" i="7" s="1"/>
  <c r="K64" i="7"/>
  <c r="K74" i="7" s="1"/>
  <c r="I64" i="7"/>
  <c r="I74" i="7" s="1"/>
  <c r="P64" i="7"/>
  <c r="P74" i="7" s="1"/>
  <c r="G64" i="7"/>
  <c r="G74" i="7" s="1"/>
  <c r="D75" i="7"/>
  <c r="C76" i="7" s="1"/>
  <c r="J75" i="6"/>
  <c r="J22" i="6"/>
  <c r="E77" i="6"/>
  <c r="F78" i="6" s="1"/>
  <c r="D77" i="6"/>
  <c r="C78" i="6" s="1"/>
  <c r="E75" i="6"/>
  <c r="F76" i="6" s="1"/>
  <c r="D75" i="6"/>
  <c r="C76" i="6" s="1"/>
  <c r="L24" i="6"/>
  <c r="K25" i="6" s="1"/>
  <c r="M24" i="6"/>
  <c r="N25" i="6" s="1"/>
  <c r="H21" i="6"/>
  <c r="H75" i="6"/>
  <c r="I76" i="6" s="1"/>
  <c r="L75" i="6"/>
  <c r="K76" i="6" s="1"/>
  <c r="M75" i="6"/>
  <c r="I75" i="6"/>
  <c r="H76" i="6" s="1"/>
  <c r="K75" i="6"/>
  <c r="L76" i="6" s="1"/>
  <c r="L21" i="6"/>
  <c r="E21" i="6"/>
  <c r="H22" i="6"/>
  <c r="I23" i="6" s="1"/>
  <c r="E75" i="7"/>
  <c r="F76" i="7" s="1"/>
  <c r="K21" i="7"/>
  <c r="K22" i="7" s="1"/>
  <c r="L23" i="7" s="1"/>
  <c r="F20" i="7"/>
  <c r="N21" i="7"/>
  <c r="J75" i="7"/>
  <c r="I22" i="7"/>
  <c r="H23" i="7" s="1"/>
  <c r="I20" i="7"/>
  <c r="H21" i="7" s="1"/>
  <c r="J22" i="7"/>
  <c r="J20" i="7"/>
  <c r="H75" i="7"/>
  <c r="K20" i="7"/>
  <c r="I75" i="7"/>
  <c r="P64" i="4"/>
  <c r="P74" i="4" s="1"/>
  <c r="H64" i="4"/>
  <c r="H74" i="4" s="1"/>
  <c r="I64" i="4"/>
  <c r="I74" i="4" s="1"/>
  <c r="O64" i="4"/>
  <c r="O74" i="4" s="1"/>
  <c r="F64" i="4"/>
  <c r="F74" i="4" s="1"/>
  <c r="I20" i="4"/>
  <c r="H21" i="4" s="1"/>
  <c r="I73" i="4"/>
  <c r="K73" i="4"/>
  <c r="L73" i="4"/>
  <c r="F73" i="4"/>
  <c r="D64" i="4"/>
  <c r="D74" i="4" s="1"/>
  <c r="M20" i="4"/>
  <c r="D20" i="4"/>
  <c r="C21" i="4" s="1"/>
  <c r="G73" i="4"/>
  <c r="C64" i="4"/>
  <c r="C74" i="4" s="1"/>
  <c r="K18" i="4"/>
  <c r="F18" i="4"/>
  <c r="M64" i="4"/>
  <c r="M74" i="4" s="1"/>
  <c r="E64" i="4"/>
  <c r="E74" i="4" s="1"/>
  <c r="L64" i="4"/>
  <c r="L74" i="4" s="1"/>
  <c r="J64" i="4"/>
  <c r="J74" i="4" s="1"/>
  <c r="G20" i="4"/>
  <c r="J73" i="4"/>
  <c r="N64" i="4"/>
  <c r="N74" i="4" s="1"/>
  <c r="J18" i="4"/>
  <c r="G64" i="4"/>
  <c r="G74" i="4" s="1"/>
  <c r="E18" i="4"/>
  <c r="H18" i="4"/>
  <c r="K64" i="4"/>
  <c r="K74" i="4" s="1"/>
  <c r="L18" i="4"/>
  <c r="L20" i="4" s="1"/>
  <c r="K21" i="4" s="1"/>
  <c r="O108" i="2"/>
  <c r="P108" i="2"/>
  <c r="O107" i="2"/>
  <c r="P107" i="2"/>
  <c r="L72" i="2"/>
  <c r="K72" i="2"/>
  <c r="F72" i="2"/>
  <c r="E72" i="2"/>
  <c r="L62" i="2"/>
  <c r="L63" i="2" s="1"/>
  <c r="K62" i="2"/>
  <c r="K63" i="2" s="1"/>
  <c r="F62" i="2"/>
  <c r="F63" i="2" s="1"/>
  <c r="E62" i="2"/>
  <c r="E63" i="2" s="1"/>
  <c r="I57" i="2"/>
  <c r="M62" i="2" s="1"/>
  <c r="M63" i="2" s="1"/>
  <c r="G57" i="2"/>
  <c r="J63" i="2" s="1"/>
  <c r="F57" i="2"/>
  <c r="E57" i="2"/>
  <c r="G63" i="2" s="1"/>
  <c r="C57" i="2"/>
  <c r="F52" i="2"/>
  <c r="E52" i="2"/>
  <c r="K75" i="7" l="1"/>
  <c r="F75" i="7"/>
  <c r="E76" i="7" s="1"/>
  <c r="G75" i="7"/>
  <c r="D63" i="2"/>
  <c r="D22" i="6"/>
  <c r="E22" i="6"/>
  <c r="F23" i="6" s="1"/>
  <c r="L22" i="6"/>
  <c r="K23" i="6" s="1"/>
  <c r="K24" i="6" s="1"/>
  <c r="L25" i="6" s="1"/>
  <c r="M22" i="6"/>
  <c r="L77" i="6"/>
  <c r="K78" i="6" s="1"/>
  <c r="M77" i="6"/>
  <c r="N78" i="6" s="1"/>
  <c r="N76" i="6"/>
  <c r="H77" i="6"/>
  <c r="G77" i="6"/>
  <c r="F77" i="6"/>
  <c r="K77" i="6"/>
  <c r="L78" i="6" s="1"/>
  <c r="I77" i="6"/>
  <c r="H78" i="6" s="1"/>
  <c r="G79" i="6" s="1"/>
  <c r="J77" i="6"/>
  <c r="G22" i="6"/>
  <c r="F22" i="6"/>
  <c r="H79" i="6"/>
  <c r="I80" i="6" s="1"/>
  <c r="F79" i="6"/>
  <c r="E80" i="6" s="1"/>
  <c r="E75" i="4"/>
  <c r="F76" i="4" s="1"/>
  <c r="D75" i="4"/>
  <c r="C76" i="4" s="1"/>
  <c r="H76" i="7"/>
  <c r="L21" i="7"/>
  <c r="I76" i="7"/>
  <c r="L24" i="7"/>
  <c r="K25" i="7" s="1"/>
  <c r="M24" i="7"/>
  <c r="N25" i="7" s="1"/>
  <c r="L76" i="7"/>
  <c r="E21" i="7"/>
  <c r="H75" i="4"/>
  <c r="I76" i="4" s="1"/>
  <c r="E20" i="4"/>
  <c r="J20" i="4"/>
  <c r="J75" i="4"/>
  <c r="F20" i="4"/>
  <c r="G75" i="4"/>
  <c r="N21" i="4"/>
  <c r="F75" i="4"/>
  <c r="E76" i="4" s="1"/>
  <c r="K75" i="4"/>
  <c r="L76" i="4" s="1"/>
  <c r="H20" i="4"/>
  <c r="L75" i="4"/>
  <c r="K76" i="4" s="1"/>
  <c r="M75" i="4"/>
  <c r="N76" i="4" s="1"/>
  <c r="K20" i="4"/>
  <c r="I75" i="4"/>
  <c r="H76" i="4" s="1"/>
  <c r="H77" i="4" s="1"/>
  <c r="I78" i="4" s="1"/>
  <c r="N62" i="2"/>
  <c r="N63" i="2" s="1"/>
  <c r="C62" i="2"/>
  <c r="D77" i="7" l="1"/>
  <c r="C78" i="7" s="1"/>
  <c r="E77" i="7"/>
  <c r="F78" i="7" s="1"/>
  <c r="L26" i="6"/>
  <c r="K27" i="6" s="1"/>
  <c r="M26" i="6"/>
  <c r="N27" i="6" s="1"/>
  <c r="E81" i="6"/>
  <c r="F82" i="6" s="1"/>
  <c r="D81" i="6"/>
  <c r="C82" i="6" s="1"/>
  <c r="E23" i="6"/>
  <c r="N23" i="6"/>
  <c r="C23" i="6"/>
  <c r="L79" i="6"/>
  <c r="K80" i="6" s="1"/>
  <c r="K81" i="6" s="1"/>
  <c r="L82" i="6" s="1"/>
  <c r="M79" i="6"/>
  <c r="E78" i="6"/>
  <c r="I78" i="6"/>
  <c r="H24" i="6"/>
  <c r="F24" i="6"/>
  <c r="E25" i="6" s="1"/>
  <c r="G24" i="6"/>
  <c r="I24" i="6"/>
  <c r="J24" i="6"/>
  <c r="I77" i="4"/>
  <c r="H78" i="4" s="1"/>
  <c r="D22" i="7"/>
  <c r="E22" i="7"/>
  <c r="F23" i="7" s="1"/>
  <c r="J77" i="7"/>
  <c r="K77" i="7"/>
  <c r="I77" i="7"/>
  <c r="H78" i="7" s="1"/>
  <c r="L22" i="7"/>
  <c r="K23" i="7" s="1"/>
  <c r="M22" i="7"/>
  <c r="L77" i="7"/>
  <c r="K78" i="7" s="1"/>
  <c r="M77" i="7"/>
  <c r="G77" i="7"/>
  <c r="H77" i="7"/>
  <c r="F77" i="7"/>
  <c r="K77" i="4"/>
  <c r="L78" i="4" s="1"/>
  <c r="M79" i="4" s="1"/>
  <c r="N80" i="4" s="1"/>
  <c r="C65" i="2"/>
  <c r="N64" i="2" s="1"/>
  <c r="I21" i="4"/>
  <c r="L77" i="4"/>
  <c r="M77" i="4"/>
  <c r="F77" i="4"/>
  <c r="E21" i="4"/>
  <c r="J77" i="4"/>
  <c r="L21" i="4"/>
  <c r="E77" i="4"/>
  <c r="F78" i="4" s="1"/>
  <c r="D77" i="4"/>
  <c r="G77" i="4"/>
  <c r="F21" i="4"/>
  <c r="L17" i="2"/>
  <c r="K17" i="2"/>
  <c r="F17" i="2"/>
  <c r="E17" i="2"/>
  <c r="I8" i="2"/>
  <c r="G8" i="2"/>
  <c r="F8" i="2"/>
  <c r="E8" i="2"/>
  <c r="C8" i="2"/>
  <c r="E3" i="2"/>
  <c r="F3" i="2"/>
  <c r="L19" i="2" s="1"/>
  <c r="M14" i="2" l="1"/>
  <c r="BT123" i="2"/>
  <c r="BT125" i="2"/>
  <c r="BT127" i="2"/>
  <c r="BT129" i="2"/>
  <c r="BT122" i="2"/>
  <c r="BM123" i="2"/>
  <c r="BM125" i="2"/>
  <c r="BM122" i="2"/>
  <c r="BK124" i="2"/>
  <c r="BK126" i="2"/>
  <c r="BT124" i="2"/>
  <c r="BT126" i="2"/>
  <c r="BT128" i="2"/>
  <c r="BT130" i="2"/>
  <c r="BM124" i="2"/>
  <c r="BM126" i="2"/>
  <c r="BK123" i="2"/>
  <c r="BK125" i="2"/>
  <c r="BK122" i="2"/>
  <c r="L79" i="4"/>
  <c r="K80" i="4" s="1"/>
  <c r="L83" i="6"/>
  <c r="K84" i="6" s="1"/>
  <c r="M83" i="6"/>
  <c r="N84" i="6" s="1"/>
  <c r="H25" i="6"/>
  <c r="I79" i="6"/>
  <c r="H80" i="6" s="1"/>
  <c r="K79" i="6"/>
  <c r="J79" i="6"/>
  <c r="E79" i="6"/>
  <c r="F80" i="6" s="1"/>
  <c r="D79" i="6"/>
  <c r="I81" i="6"/>
  <c r="H82" i="6" s="1"/>
  <c r="H83" i="6" s="1"/>
  <c r="I84" i="6" s="1"/>
  <c r="E24" i="6"/>
  <c r="F25" i="6" s="1"/>
  <c r="D24" i="6"/>
  <c r="G83" i="6"/>
  <c r="D26" i="6"/>
  <c r="E26" i="6"/>
  <c r="F27" i="6" s="1"/>
  <c r="I25" i="6"/>
  <c r="N80" i="6"/>
  <c r="J81" i="6"/>
  <c r="I78" i="7"/>
  <c r="L78" i="7"/>
  <c r="C23" i="7"/>
  <c r="E78" i="7"/>
  <c r="N78" i="7"/>
  <c r="N23" i="7"/>
  <c r="G79" i="7"/>
  <c r="F79" i="7"/>
  <c r="E80" i="7" s="1"/>
  <c r="H79" i="7"/>
  <c r="I80" i="7" s="1"/>
  <c r="H24" i="7"/>
  <c r="G24" i="7"/>
  <c r="F24" i="7"/>
  <c r="E25" i="7" s="1"/>
  <c r="D64" i="2"/>
  <c r="D74" i="2" s="1"/>
  <c r="C78" i="4"/>
  <c r="L22" i="4"/>
  <c r="K23" i="4" s="1"/>
  <c r="M22" i="4"/>
  <c r="D22" i="4"/>
  <c r="E22" i="4"/>
  <c r="E78" i="4"/>
  <c r="K78" i="4"/>
  <c r="I22" i="4"/>
  <c r="H23" i="4" s="1"/>
  <c r="J22" i="4"/>
  <c r="K22" i="4"/>
  <c r="BR137" i="2"/>
  <c r="BP137" i="2" s="1"/>
  <c r="BR139" i="2"/>
  <c r="BP139" i="2" s="1"/>
  <c r="BR141" i="2"/>
  <c r="BP141" i="2" s="1"/>
  <c r="BR143" i="2"/>
  <c r="BP143" i="2" s="1"/>
  <c r="BR145" i="2"/>
  <c r="BP145" i="2" s="1"/>
  <c r="BR147" i="2"/>
  <c r="BP147" i="2" s="1"/>
  <c r="BR149" i="2"/>
  <c r="BP149" i="2" s="1"/>
  <c r="BR151" i="2"/>
  <c r="BP151" i="2" s="1"/>
  <c r="BR153" i="2"/>
  <c r="BP153" i="2" s="1"/>
  <c r="BR155" i="2"/>
  <c r="BP155" i="2" s="1"/>
  <c r="BR156" i="2"/>
  <c r="BP156" i="2" s="1"/>
  <c r="BR138" i="2"/>
  <c r="BP138" i="2" s="1"/>
  <c r="BR140" i="2"/>
  <c r="BP140" i="2" s="1"/>
  <c r="BR142" i="2"/>
  <c r="BP142" i="2" s="1"/>
  <c r="BR144" i="2"/>
  <c r="BP144" i="2" s="1"/>
  <c r="BR146" i="2"/>
  <c r="BP146" i="2" s="1"/>
  <c r="BR148" i="2"/>
  <c r="BP148" i="2" s="1"/>
  <c r="BR150" i="2"/>
  <c r="BP150" i="2" s="1"/>
  <c r="BR152" i="2"/>
  <c r="BP152" i="2" s="1"/>
  <c r="BR154" i="2"/>
  <c r="BP154" i="2" s="1"/>
  <c r="BR136" i="2"/>
  <c r="BP136" i="2" s="1"/>
  <c r="G22" i="4"/>
  <c r="F22" i="4"/>
  <c r="E23" i="4" s="1"/>
  <c r="H22" i="4"/>
  <c r="H79" i="4"/>
  <c r="F79" i="4"/>
  <c r="E80" i="4" s="1"/>
  <c r="G79" i="4"/>
  <c r="N78" i="4"/>
  <c r="P64" i="2"/>
  <c r="P74" i="2" s="1"/>
  <c r="H64" i="2"/>
  <c r="H74" i="2" s="1"/>
  <c r="O64" i="2"/>
  <c r="O74" i="2" s="1"/>
  <c r="I64" i="2"/>
  <c r="G64" i="2"/>
  <c r="G74" i="2" s="1"/>
  <c r="K64" i="2"/>
  <c r="K74" i="2" s="1"/>
  <c r="M64" i="2"/>
  <c r="M74" i="2" s="1"/>
  <c r="L64" i="2"/>
  <c r="L74" i="2" s="1"/>
  <c r="E64" i="2"/>
  <c r="E74" i="2" s="1"/>
  <c r="J64" i="2"/>
  <c r="J74" i="2" s="1"/>
  <c r="C64" i="2"/>
  <c r="C74" i="2" s="1"/>
  <c r="F64" i="2"/>
  <c r="F74" i="2" s="1"/>
  <c r="O17" i="2"/>
  <c r="AO138" i="2"/>
  <c r="AO140" i="2"/>
  <c r="AO142" i="2"/>
  <c r="AO144" i="2"/>
  <c r="AO146" i="2"/>
  <c r="AO148" i="2"/>
  <c r="AO150" i="2"/>
  <c r="AO152" i="2"/>
  <c r="AO154" i="2"/>
  <c r="AO156" i="2"/>
  <c r="AO139" i="2"/>
  <c r="AO141" i="2"/>
  <c r="AO143" i="2"/>
  <c r="AO145" i="2"/>
  <c r="AO147" i="2"/>
  <c r="AO149" i="2"/>
  <c r="AO151" i="2"/>
  <c r="AO153" i="2"/>
  <c r="AO155" i="2"/>
  <c r="AO137" i="2"/>
  <c r="O72" i="2"/>
  <c r="G72" i="2"/>
  <c r="P17" i="2"/>
  <c r="BC138" i="2"/>
  <c r="BC140" i="2"/>
  <c r="BC142" i="2"/>
  <c r="BC144" i="2"/>
  <c r="BC146" i="2"/>
  <c r="BC148" i="2"/>
  <c r="BC150" i="2"/>
  <c r="BC152" i="2"/>
  <c r="BC154" i="2"/>
  <c r="BC156" i="2"/>
  <c r="BC139" i="2"/>
  <c r="BC141" i="2"/>
  <c r="BC143" i="2"/>
  <c r="BC145" i="2"/>
  <c r="BC147" i="2"/>
  <c r="BC149" i="2"/>
  <c r="BC151" i="2"/>
  <c r="BC153" i="2"/>
  <c r="BC155" i="2"/>
  <c r="BC137" i="2"/>
  <c r="P72" i="2"/>
  <c r="J72" i="2"/>
  <c r="AA138" i="2"/>
  <c r="AA140" i="2"/>
  <c r="AA142" i="2"/>
  <c r="AA144" i="2"/>
  <c r="AA146" i="2"/>
  <c r="AA148" i="2"/>
  <c r="AA150" i="2"/>
  <c r="AA152" i="2"/>
  <c r="AA154" i="2"/>
  <c r="AA156" i="2"/>
  <c r="D130" i="2"/>
  <c r="D17" i="2"/>
  <c r="D18" i="2" s="1"/>
  <c r="AA139" i="2"/>
  <c r="AA141" i="2"/>
  <c r="AA143" i="2"/>
  <c r="AA145" i="2"/>
  <c r="AA147" i="2"/>
  <c r="AA149" i="2"/>
  <c r="AA151" i="2"/>
  <c r="AA153" i="2"/>
  <c r="AA155" i="2"/>
  <c r="AA137" i="2"/>
  <c r="D128" i="2"/>
  <c r="D72" i="2"/>
  <c r="C72" i="2"/>
  <c r="I17" i="2"/>
  <c r="AV138" i="2"/>
  <c r="AV140" i="2"/>
  <c r="AV142" i="2"/>
  <c r="AV144" i="2"/>
  <c r="AV146" i="2"/>
  <c r="AV148" i="2"/>
  <c r="AV150" i="2"/>
  <c r="AV152" i="2"/>
  <c r="AV154" i="2"/>
  <c r="AV156" i="2"/>
  <c r="AV139" i="2"/>
  <c r="AV141" i="2"/>
  <c r="AV143" i="2"/>
  <c r="AV145" i="2"/>
  <c r="AV147" i="2"/>
  <c r="AV149" i="2"/>
  <c r="AV151" i="2"/>
  <c r="AV153" i="2"/>
  <c r="AV155" i="2"/>
  <c r="AV137" i="2"/>
  <c r="H72" i="2"/>
  <c r="H73" i="2" s="1"/>
  <c r="I72" i="2"/>
  <c r="N17" i="2"/>
  <c r="N72" i="2"/>
  <c r="M72" i="2"/>
  <c r="I74" i="2"/>
  <c r="N74" i="2"/>
  <c r="C17" i="2"/>
  <c r="H17" i="2"/>
  <c r="J17" i="2"/>
  <c r="M17" i="2"/>
  <c r="M18" i="2" s="1"/>
  <c r="E19" i="2"/>
  <c r="H19" i="2"/>
  <c r="K19" i="2"/>
  <c r="F19" i="2"/>
  <c r="I19" i="2"/>
  <c r="C27" i="6" l="1"/>
  <c r="K85" i="6"/>
  <c r="L86" i="6" s="1"/>
  <c r="I85" i="6"/>
  <c r="H86" i="6" s="1"/>
  <c r="J85" i="6"/>
  <c r="H26" i="6"/>
  <c r="G26" i="6"/>
  <c r="F26" i="6"/>
  <c r="E27" i="6" s="1"/>
  <c r="C80" i="6"/>
  <c r="J26" i="6"/>
  <c r="K26" i="6"/>
  <c r="I26" i="6"/>
  <c r="H27" i="6" s="1"/>
  <c r="H28" i="6" s="1"/>
  <c r="I29" i="6" s="1"/>
  <c r="F83" i="6"/>
  <c r="E84" i="6" s="1"/>
  <c r="C25" i="6"/>
  <c r="H81" i="6"/>
  <c r="I82" i="6" s="1"/>
  <c r="G81" i="6"/>
  <c r="F81" i="6"/>
  <c r="E82" i="6" s="1"/>
  <c r="L80" i="6"/>
  <c r="J18" i="2"/>
  <c r="E18" i="2"/>
  <c r="D26" i="7"/>
  <c r="C27" i="7" s="1"/>
  <c r="E26" i="7"/>
  <c r="F27" i="7" s="1"/>
  <c r="I25" i="7"/>
  <c r="D79" i="7"/>
  <c r="E79" i="7"/>
  <c r="F80" i="7" s="1"/>
  <c r="L79" i="7"/>
  <c r="K80" i="7" s="1"/>
  <c r="J81" i="7" s="1"/>
  <c r="M79" i="7"/>
  <c r="D81" i="7"/>
  <c r="C82" i="7" s="1"/>
  <c r="E81" i="7"/>
  <c r="F82" i="7" s="1"/>
  <c r="I79" i="7"/>
  <c r="H80" i="7" s="1"/>
  <c r="J79" i="7"/>
  <c r="K79" i="7"/>
  <c r="D81" i="4"/>
  <c r="C82" i="4" s="1"/>
  <c r="E81" i="4"/>
  <c r="F82" i="4" s="1"/>
  <c r="D24" i="4"/>
  <c r="C25" i="4" s="1"/>
  <c r="E24" i="4"/>
  <c r="F25" i="4" s="1"/>
  <c r="J79" i="4"/>
  <c r="I79" i="4"/>
  <c r="K79" i="4"/>
  <c r="L80" i="4" s="1"/>
  <c r="E79" i="4"/>
  <c r="F80" i="4" s="1"/>
  <c r="D79" i="4"/>
  <c r="C23" i="4"/>
  <c r="I80" i="4"/>
  <c r="I23" i="4"/>
  <c r="L23" i="4"/>
  <c r="F23" i="4"/>
  <c r="N23" i="4"/>
  <c r="K73" i="2"/>
  <c r="K75" i="2" s="1"/>
  <c r="L76" i="2" s="1"/>
  <c r="I73" i="2"/>
  <c r="I75" i="2" s="1"/>
  <c r="H76" i="2" s="1"/>
  <c r="D73" i="2"/>
  <c r="D75" i="2" s="1"/>
  <c r="C76" i="2" s="1"/>
  <c r="E73" i="2"/>
  <c r="E75" i="2" s="1"/>
  <c r="F76" i="2" s="1"/>
  <c r="F73" i="2"/>
  <c r="F75" i="2" s="1"/>
  <c r="E76" i="2" s="1"/>
  <c r="G73" i="2"/>
  <c r="G75" i="2" s="1"/>
  <c r="M73" i="2"/>
  <c r="L73" i="2"/>
  <c r="J73" i="2"/>
  <c r="J75" i="2" s="1"/>
  <c r="L75" i="2"/>
  <c r="K76" i="2" s="1"/>
  <c r="M75" i="2"/>
  <c r="N76" i="2" s="1"/>
  <c r="H75" i="2"/>
  <c r="I76" i="2" s="1"/>
  <c r="H18" i="2"/>
  <c r="H20" i="2" s="1"/>
  <c r="I21" i="2" s="1"/>
  <c r="M20" i="2"/>
  <c r="N21" i="2" s="1"/>
  <c r="F18" i="2"/>
  <c r="F20" i="2" s="1"/>
  <c r="E21" i="2" s="1"/>
  <c r="J20" i="2"/>
  <c r="K18" i="2"/>
  <c r="K20" i="2" s="1"/>
  <c r="L21" i="2" s="1"/>
  <c r="G18" i="2"/>
  <c r="G20" i="2" s="1"/>
  <c r="L18" i="2"/>
  <c r="I18" i="2"/>
  <c r="I20" i="2" s="1"/>
  <c r="H21" i="2" s="1"/>
  <c r="F28" i="6" l="1"/>
  <c r="E29" i="6" s="1"/>
  <c r="D30" i="6" s="1"/>
  <c r="L27" i="6"/>
  <c r="M28" i="6" s="1"/>
  <c r="L81" i="6"/>
  <c r="K82" i="6" s="1"/>
  <c r="K83" i="6" s="1"/>
  <c r="L84" i="6" s="1"/>
  <c r="M81" i="6"/>
  <c r="E83" i="6"/>
  <c r="F84" i="6" s="1"/>
  <c r="D83" i="6"/>
  <c r="I83" i="6"/>
  <c r="H84" i="6" s="1"/>
  <c r="E85" i="6"/>
  <c r="F86" i="6" s="1"/>
  <c r="D85" i="6"/>
  <c r="C86" i="6" s="1"/>
  <c r="E30" i="6"/>
  <c r="F31" i="6" s="1"/>
  <c r="E28" i="6"/>
  <c r="F29" i="6" s="1"/>
  <c r="D28" i="6"/>
  <c r="I27" i="6"/>
  <c r="G28" i="6"/>
  <c r="L28" i="6"/>
  <c r="K29" i="6" s="1"/>
  <c r="J30" i="6" s="1"/>
  <c r="L87" i="6"/>
  <c r="M87" i="6"/>
  <c r="K81" i="7"/>
  <c r="L82" i="7" s="1"/>
  <c r="L83" i="7" s="1"/>
  <c r="K84" i="7" s="1"/>
  <c r="N80" i="7"/>
  <c r="L80" i="7"/>
  <c r="F81" i="7"/>
  <c r="G81" i="7"/>
  <c r="H81" i="7"/>
  <c r="I82" i="7" s="1"/>
  <c r="C80" i="7"/>
  <c r="I81" i="7"/>
  <c r="H82" i="7" s="1"/>
  <c r="F83" i="7" s="1"/>
  <c r="E84" i="7" s="1"/>
  <c r="J26" i="7"/>
  <c r="I26" i="7"/>
  <c r="H27" i="7" s="1"/>
  <c r="G28" i="7" s="1"/>
  <c r="K26" i="7"/>
  <c r="L27" i="7" s="1"/>
  <c r="G24" i="4"/>
  <c r="F24" i="4"/>
  <c r="E25" i="4" s="1"/>
  <c r="H24" i="4"/>
  <c r="L24" i="4"/>
  <c r="K25" i="4" s="1"/>
  <c r="M24" i="4"/>
  <c r="I24" i="4"/>
  <c r="K24" i="4"/>
  <c r="J24" i="4"/>
  <c r="K81" i="4"/>
  <c r="I81" i="4"/>
  <c r="H82" i="4" s="1"/>
  <c r="F83" i="4" s="1"/>
  <c r="E84" i="4" s="1"/>
  <c r="J81" i="4"/>
  <c r="L81" i="4"/>
  <c r="K82" i="4" s="1"/>
  <c r="M81" i="4"/>
  <c r="H83" i="4"/>
  <c r="I84" i="4" s="1"/>
  <c r="C80" i="4"/>
  <c r="H80" i="4"/>
  <c r="L77" i="2"/>
  <c r="K78" i="2" s="1"/>
  <c r="M77" i="2"/>
  <c r="J77" i="2"/>
  <c r="I77" i="2"/>
  <c r="H78" i="2" s="1"/>
  <c r="K77" i="2"/>
  <c r="L78" i="2" s="1"/>
  <c r="D77" i="2"/>
  <c r="C78" i="2" s="1"/>
  <c r="E77" i="2"/>
  <c r="F78" i="2" s="1"/>
  <c r="F77" i="2"/>
  <c r="E78" i="2" s="1"/>
  <c r="G77" i="2"/>
  <c r="H77" i="2"/>
  <c r="I78" i="2" s="1"/>
  <c r="L20" i="2"/>
  <c r="K21" i="2" s="1"/>
  <c r="E22" i="2"/>
  <c r="F23" i="2" s="1"/>
  <c r="D22" i="2"/>
  <c r="C23" i="2" s="1"/>
  <c r="M22" i="2"/>
  <c r="N23" i="2" s="1"/>
  <c r="L22" i="2"/>
  <c r="K23" i="2" s="1"/>
  <c r="J83" i="6" l="1"/>
  <c r="C31" i="6"/>
  <c r="N29" i="6"/>
  <c r="J28" i="6"/>
  <c r="K28" i="6"/>
  <c r="L29" i="6" s="1"/>
  <c r="I28" i="6"/>
  <c r="H29" i="6" s="1"/>
  <c r="H30" i="6" s="1"/>
  <c r="I31" i="6" s="1"/>
  <c r="C84" i="6"/>
  <c r="C90" i="6" s="1"/>
  <c r="K30" i="6"/>
  <c r="L31" i="6" s="1"/>
  <c r="C29" i="6"/>
  <c r="H87" i="6"/>
  <c r="G87" i="6"/>
  <c r="F87" i="6"/>
  <c r="L85" i="6"/>
  <c r="K86" i="6" s="1"/>
  <c r="M85" i="6"/>
  <c r="N86" i="6" s="1"/>
  <c r="H85" i="6"/>
  <c r="I86" i="6" s="1"/>
  <c r="G85" i="6"/>
  <c r="F85" i="6"/>
  <c r="N82" i="6"/>
  <c r="I30" i="6"/>
  <c r="H31" i="6" s="1"/>
  <c r="F32" i="6" s="1"/>
  <c r="M83" i="7"/>
  <c r="N84" i="7" s="1"/>
  <c r="D85" i="7"/>
  <c r="C86" i="7" s="1"/>
  <c r="E85" i="7"/>
  <c r="F86" i="7" s="1"/>
  <c r="L28" i="7"/>
  <c r="K29" i="7" s="1"/>
  <c r="M28" i="7"/>
  <c r="E82" i="7"/>
  <c r="G83" i="7"/>
  <c r="L81" i="7"/>
  <c r="K82" i="7" s="1"/>
  <c r="I83" i="7" s="1"/>
  <c r="H84" i="7" s="1"/>
  <c r="M81" i="7"/>
  <c r="H28" i="7"/>
  <c r="I29" i="7" s="1"/>
  <c r="G83" i="4"/>
  <c r="H83" i="7"/>
  <c r="I84" i="7" s="1"/>
  <c r="F28" i="7"/>
  <c r="E29" i="7" s="1"/>
  <c r="N82" i="4"/>
  <c r="F81" i="4"/>
  <c r="H81" i="4"/>
  <c r="I82" i="4" s="1"/>
  <c r="L82" i="4"/>
  <c r="L25" i="4"/>
  <c r="I25" i="4"/>
  <c r="D85" i="4"/>
  <c r="C86" i="4" s="1"/>
  <c r="E85" i="4"/>
  <c r="F86" i="4" s="1"/>
  <c r="G81" i="4"/>
  <c r="H25" i="4"/>
  <c r="N25" i="4"/>
  <c r="D26" i="4"/>
  <c r="E26" i="4"/>
  <c r="F27" i="4" s="1"/>
  <c r="J79" i="2"/>
  <c r="K79" i="2"/>
  <c r="I79" i="2"/>
  <c r="H80" i="2" s="1"/>
  <c r="D79" i="2"/>
  <c r="E79" i="2"/>
  <c r="L79" i="2"/>
  <c r="M79" i="2"/>
  <c r="N80" i="2" s="1"/>
  <c r="F79" i="2"/>
  <c r="E80" i="2" s="1"/>
  <c r="G79" i="2"/>
  <c r="H79" i="2"/>
  <c r="I80" i="2" s="1"/>
  <c r="N78" i="2"/>
  <c r="K22" i="2"/>
  <c r="L23" i="2" s="1"/>
  <c r="J22" i="2"/>
  <c r="I22" i="2"/>
  <c r="H23" i="2" s="1"/>
  <c r="G24" i="2" s="1"/>
  <c r="M90" i="6" l="1"/>
  <c r="C35" i="6"/>
  <c r="C107" i="6" s="1"/>
  <c r="G30" i="6"/>
  <c r="G90" i="6"/>
  <c r="G32" i="6"/>
  <c r="G35" i="6" s="1"/>
  <c r="H32" i="6"/>
  <c r="H35" i="6" s="1"/>
  <c r="M155" i="6"/>
  <c r="M108" i="6"/>
  <c r="E86" i="6"/>
  <c r="F90" i="6"/>
  <c r="I87" i="6"/>
  <c r="I90" i="6" s="1"/>
  <c r="K87" i="6"/>
  <c r="K90" i="6" s="1"/>
  <c r="J87" i="6"/>
  <c r="J90" i="6" s="1"/>
  <c r="N90" i="6"/>
  <c r="H90" i="6"/>
  <c r="L32" i="6"/>
  <c r="M32" i="6"/>
  <c r="C155" i="6"/>
  <c r="C108" i="6"/>
  <c r="F30" i="6"/>
  <c r="E31" i="6" s="1"/>
  <c r="L30" i="6"/>
  <c r="K31" i="6" s="1"/>
  <c r="K32" i="6" s="1"/>
  <c r="M30" i="6"/>
  <c r="L90" i="6"/>
  <c r="J85" i="7"/>
  <c r="K85" i="7"/>
  <c r="L86" i="7" s="1"/>
  <c r="I85" i="7"/>
  <c r="H86" i="7" s="1"/>
  <c r="F87" i="7" s="1"/>
  <c r="I30" i="7"/>
  <c r="H31" i="7" s="1"/>
  <c r="J30" i="7"/>
  <c r="K30" i="7"/>
  <c r="L31" i="7" s="1"/>
  <c r="N82" i="7"/>
  <c r="D83" i="7"/>
  <c r="E83" i="7"/>
  <c r="F84" i="7" s="1"/>
  <c r="J83" i="7"/>
  <c r="N29" i="7"/>
  <c r="G87" i="7"/>
  <c r="D30" i="7"/>
  <c r="C31" i="7" s="1"/>
  <c r="E30" i="7"/>
  <c r="F31" i="7" s="1"/>
  <c r="K83" i="7"/>
  <c r="L84" i="7" s="1"/>
  <c r="C27" i="4"/>
  <c r="G26" i="4"/>
  <c r="H26" i="4"/>
  <c r="I27" i="4" s="1"/>
  <c r="F26" i="4"/>
  <c r="E27" i="4" s="1"/>
  <c r="I26" i="4"/>
  <c r="H27" i="4" s="1"/>
  <c r="G28" i="4" s="1"/>
  <c r="J26" i="4"/>
  <c r="K26" i="4"/>
  <c r="L27" i="4" s="1"/>
  <c r="L26" i="4"/>
  <c r="K27" i="4" s="1"/>
  <c r="M26" i="4"/>
  <c r="L83" i="4"/>
  <c r="K84" i="4" s="1"/>
  <c r="M83" i="4"/>
  <c r="E82" i="4"/>
  <c r="J83" i="4"/>
  <c r="K83" i="4"/>
  <c r="L84" i="4" s="1"/>
  <c r="I83" i="4"/>
  <c r="H84" i="4" s="1"/>
  <c r="C80" i="2"/>
  <c r="L80" i="2"/>
  <c r="D81" i="2"/>
  <c r="C82" i="2" s="1"/>
  <c r="E81" i="2"/>
  <c r="F82" i="2" s="1"/>
  <c r="K80" i="2"/>
  <c r="K81" i="2" s="1"/>
  <c r="L82" i="2" s="1"/>
  <c r="F80" i="2"/>
  <c r="M24" i="2"/>
  <c r="N25" i="2" s="1"/>
  <c r="L24" i="2"/>
  <c r="K25" i="2" s="1"/>
  <c r="H24" i="2"/>
  <c r="I25" i="2" s="1"/>
  <c r="F24" i="2"/>
  <c r="E25" i="2" s="1"/>
  <c r="H87" i="7" l="1"/>
  <c r="K35" i="6"/>
  <c r="I32" i="6"/>
  <c r="I35" i="6" s="1"/>
  <c r="I107" i="6" s="1"/>
  <c r="L35" i="6"/>
  <c r="L107" i="6" s="1"/>
  <c r="J32" i="6"/>
  <c r="J35" i="6" s="1"/>
  <c r="J107" i="6" s="1"/>
  <c r="K107" i="6"/>
  <c r="N31" i="6"/>
  <c r="M35" i="6"/>
  <c r="E32" i="6"/>
  <c r="E35" i="6" s="1"/>
  <c r="D32" i="6"/>
  <c r="N108" i="6"/>
  <c r="N155" i="6"/>
  <c r="K155" i="6"/>
  <c r="L92" i="6"/>
  <c r="M95" i="6" s="1"/>
  <c r="N95" i="6" s="1"/>
  <c r="K108" i="6"/>
  <c r="K92" i="6"/>
  <c r="F108" i="6"/>
  <c r="F155" i="6"/>
  <c r="G107" i="6"/>
  <c r="G37" i="6"/>
  <c r="G40" i="6" s="1"/>
  <c r="J37" i="6"/>
  <c r="J40" i="6" s="1"/>
  <c r="L108" i="6"/>
  <c r="L155" i="6"/>
  <c r="H108" i="6"/>
  <c r="H155" i="6"/>
  <c r="H92" i="6"/>
  <c r="I92" i="6"/>
  <c r="J108" i="6"/>
  <c r="J92" i="6"/>
  <c r="J95" i="6" s="1"/>
  <c r="J155" i="6"/>
  <c r="I155" i="6"/>
  <c r="I108" i="6"/>
  <c r="E87" i="6"/>
  <c r="E90" i="6" s="1"/>
  <c r="D87" i="6"/>
  <c r="D90" i="6" s="1"/>
  <c r="H107" i="6"/>
  <c r="I37" i="6"/>
  <c r="G155" i="6"/>
  <c r="G108" i="6"/>
  <c r="G92" i="6"/>
  <c r="G95" i="6" s="1"/>
  <c r="F35" i="6"/>
  <c r="F107" i="6" s="1"/>
  <c r="L85" i="7"/>
  <c r="K86" i="7" s="1"/>
  <c r="M85" i="7"/>
  <c r="N86" i="7" s="1"/>
  <c r="N90" i="7" s="1"/>
  <c r="H32" i="7"/>
  <c r="G32" i="7"/>
  <c r="F32" i="7"/>
  <c r="C84" i="7"/>
  <c r="C90" i="7" s="1"/>
  <c r="L32" i="7"/>
  <c r="M32" i="7"/>
  <c r="L87" i="7"/>
  <c r="L90" i="7" s="1"/>
  <c r="M87" i="7"/>
  <c r="F85" i="7"/>
  <c r="E86" i="7" s="1"/>
  <c r="G85" i="7"/>
  <c r="G90" i="7" s="1"/>
  <c r="G155" i="7" s="1"/>
  <c r="H85" i="7"/>
  <c r="I86" i="7" s="1"/>
  <c r="F28" i="4"/>
  <c r="E29" i="4" s="1"/>
  <c r="E30" i="4" s="1"/>
  <c r="F31" i="4" s="1"/>
  <c r="E83" i="4"/>
  <c r="F84" i="4" s="1"/>
  <c r="D83" i="4"/>
  <c r="N84" i="4"/>
  <c r="D30" i="4"/>
  <c r="C31" i="4" s="1"/>
  <c r="I28" i="4"/>
  <c r="H29" i="4" s="1"/>
  <c r="J28" i="4"/>
  <c r="K28" i="4"/>
  <c r="L29" i="4" s="1"/>
  <c r="L85" i="4"/>
  <c r="K86" i="4" s="1"/>
  <c r="M85" i="4"/>
  <c r="N86" i="4" s="1"/>
  <c r="N90" i="4" s="1"/>
  <c r="N108" i="4" s="1"/>
  <c r="K85" i="4"/>
  <c r="L86" i="4" s="1"/>
  <c r="J85" i="4"/>
  <c r="I85" i="4"/>
  <c r="H86" i="4" s="1"/>
  <c r="N27" i="4"/>
  <c r="L28" i="4"/>
  <c r="K29" i="4" s="1"/>
  <c r="M28" i="4"/>
  <c r="N29" i="4" s="1"/>
  <c r="H28" i="4"/>
  <c r="I29" i="4" s="1"/>
  <c r="D28" i="4"/>
  <c r="C29" i="4" s="1"/>
  <c r="E28" i="4"/>
  <c r="F29" i="4" s="1"/>
  <c r="M83" i="2"/>
  <c r="N84" i="2" s="1"/>
  <c r="L83" i="2"/>
  <c r="K84" i="2" s="1"/>
  <c r="F81" i="2"/>
  <c r="E82" i="2" s="1"/>
  <c r="G81" i="2"/>
  <c r="H81" i="2"/>
  <c r="I81" i="2"/>
  <c r="J81" i="2"/>
  <c r="M81" i="2"/>
  <c r="L81" i="2"/>
  <c r="K26" i="2"/>
  <c r="L27" i="2" s="1"/>
  <c r="I26" i="2"/>
  <c r="H27" i="2" s="1"/>
  <c r="J26" i="2"/>
  <c r="E26" i="2"/>
  <c r="D26" i="2"/>
  <c r="C27" i="2" s="1"/>
  <c r="F27" i="2"/>
  <c r="L37" i="6" l="1"/>
  <c r="M40" i="6" s="1"/>
  <c r="D35" i="6"/>
  <c r="D107" i="6" s="1"/>
  <c r="N35" i="6"/>
  <c r="N107" i="6" s="1"/>
  <c r="M107" i="6"/>
  <c r="N40" i="6"/>
  <c r="H37" i="6"/>
  <c r="E37" i="6"/>
  <c r="C40" i="6" s="1"/>
  <c r="K37" i="6"/>
  <c r="D108" i="6"/>
  <c r="D155" i="6"/>
  <c r="E107" i="6"/>
  <c r="F37" i="6"/>
  <c r="E155" i="6"/>
  <c r="F92" i="6"/>
  <c r="E108" i="6"/>
  <c r="E92" i="6"/>
  <c r="C95" i="6" s="1"/>
  <c r="B99" i="6" s="1"/>
  <c r="C108" i="7"/>
  <c r="C155" i="7"/>
  <c r="N108" i="7"/>
  <c r="N155" i="7"/>
  <c r="L108" i="7"/>
  <c r="L155" i="7"/>
  <c r="C35" i="4"/>
  <c r="C107" i="4" s="1"/>
  <c r="M90" i="7"/>
  <c r="G108" i="7"/>
  <c r="G92" i="7"/>
  <c r="G95" i="7" s="1"/>
  <c r="I87" i="7"/>
  <c r="I90" i="7" s="1"/>
  <c r="J87" i="7"/>
  <c r="J90" i="7" s="1"/>
  <c r="J155" i="7" s="1"/>
  <c r="K87" i="7"/>
  <c r="K90" i="7" s="1"/>
  <c r="K155" i="7" s="1"/>
  <c r="D87" i="7"/>
  <c r="D90" i="7" s="1"/>
  <c r="E87" i="7"/>
  <c r="E90" i="7" s="1"/>
  <c r="E155" i="7" s="1"/>
  <c r="H90" i="7"/>
  <c r="H155" i="7" s="1"/>
  <c r="F90" i="7"/>
  <c r="F87" i="4"/>
  <c r="H87" i="4"/>
  <c r="G87" i="4"/>
  <c r="L87" i="4"/>
  <c r="L90" i="4" s="1"/>
  <c r="L108" i="4" s="1"/>
  <c r="M87" i="4"/>
  <c r="M90" i="4" s="1"/>
  <c r="M108" i="4" s="1"/>
  <c r="C84" i="4"/>
  <c r="C90" i="4" s="1"/>
  <c r="C108" i="4" s="1"/>
  <c r="G30" i="4"/>
  <c r="F30" i="4"/>
  <c r="E31" i="4" s="1"/>
  <c r="H30" i="4"/>
  <c r="I31" i="4" s="1"/>
  <c r="I30" i="4"/>
  <c r="H31" i="4" s="1"/>
  <c r="G32" i="4" s="1"/>
  <c r="J30" i="4"/>
  <c r="K30" i="4"/>
  <c r="L31" i="4" s="1"/>
  <c r="L30" i="4"/>
  <c r="K31" i="4" s="1"/>
  <c r="M30" i="4"/>
  <c r="N31" i="4" s="1"/>
  <c r="N35" i="4" s="1"/>
  <c r="N107" i="4" s="1"/>
  <c r="H85" i="4"/>
  <c r="I86" i="4" s="1"/>
  <c r="G85" i="4"/>
  <c r="F85" i="4"/>
  <c r="E86" i="4" s="1"/>
  <c r="N82" i="2"/>
  <c r="H82" i="2"/>
  <c r="K82" i="2"/>
  <c r="I82" i="2"/>
  <c r="D83" i="2"/>
  <c r="E83" i="2"/>
  <c r="F84" i="2" s="1"/>
  <c r="M28" i="2"/>
  <c r="L28" i="2"/>
  <c r="H28" i="2"/>
  <c r="I29" i="2" s="1"/>
  <c r="F28" i="2"/>
  <c r="E29" i="2" s="1"/>
  <c r="G28" i="2"/>
  <c r="B44" i="6" l="1"/>
  <c r="P109" i="6" s="1"/>
  <c r="O156" i="6"/>
  <c r="M156" i="6"/>
  <c r="K156" i="6"/>
  <c r="I156" i="6"/>
  <c r="G156" i="6"/>
  <c r="G158" i="6" s="1"/>
  <c r="O161" i="6" s="1"/>
  <c r="E156" i="6"/>
  <c r="C156" i="6"/>
  <c r="P156" i="6"/>
  <c r="N156" i="6"/>
  <c r="L156" i="6"/>
  <c r="J156" i="6"/>
  <c r="J158" i="6" s="1"/>
  <c r="P161" i="6" s="1"/>
  <c r="H156" i="6"/>
  <c r="F156" i="6"/>
  <c r="D156" i="6"/>
  <c r="I108" i="7"/>
  <c r="I155" i="7"/>
  <c r="F108" i="7"/>
  <c r="F155" i="7"/>
  <c r="D108" i="7"/>
  <c r="D155" i="7"/>
  <c r="M108" i="7"/>
  <c r="M155" i="7"/>
  <c r="E108" i="7"/>
  <c r="E92" i="7"/>
  <c r="C95" i="7" s="1"/>
  <c r="F92" i="7"/>
  <c r="J108" i="7"/>
  <c r="J92" i="7"/>
  <c r="J95" i="7" s="1"/>
  <c r="H108" i="7"/>
  <c r="H92" i="7"/>
  <c r="I92" i="7"/>
  <c r="K108" i="7"/>
  <c r="K92" i="7"/>
  <c r="L92" i="7"/>
  <c r="M95" i="7" s="1"/>
  <c r="N95" i="7" s="1"/>
  <c r="G90" i="4"/>
  <c r="G108" i="4" s="1"/>
  <c r="F32" i="4"/>
  <c r="F35" i="4" s="1"/>
  <c r="F107" i="4" s="1"/>
  <c r="G35" i="4"/>
  <c r="G107" i="4" s="1"/>
  <c r="E87" i="4"/>
  <c r="E90" i="4" s="1"/>
  <c r="D87" i="4"/>
  <c r="D90" i="4" s="1"/>
  <c r="D108" i="4" s="1"/>
  <c r="J87" i="4"/>
  <c r="J90" i="4" s="1"/>
  <c r="K87" i="4"/>
  <c r="K90" i="4" s="1"/>
  <c r="I87" i="4"/>
  <c r="I90" i="4" s="1"/>
  <c r="I108" i="4" s="1"/>
  <c r="I32" i="4"/>
  <c r="I35" i="4" s="1"/>
  <c r="I107" i="4" s="1"/>
  <c r="K32" i="4"/>
  <c r="K35" i="4" s="1"/>
  <c r="J32" i="4"/>
  <c r="J35" i="4" s="1"/>
  <c r="F90" i="4"/>
  <c r="F108" i="4" s="1"/>
  <c r="L32" i="4"/>
  <c r="L35" i="4" s="1"/>
  <c r="L107" i="4" s="1"/>
  <c r="M32" i="4"/>
  <c r="M35" i="4" s="1"/>
  <c r="D32" i="4"/>
  <c r="D35" i="4" s="1"/>
  <c r="E32" i="4"/>
  <c r="E35" i="4" s="1"/>
  <c r="H32" i="4"/>
  <c r="H35" i="4" s="1"/>
  <c r="H90" i="4"/>
  <c r="C84" i="2"/>
  <c r="J83" i="2"/>
  <c r="I83" i="2"/>
  <c r="K83" i="2"/>
  <c r="L84" i="2" s="1"/>
  <c r="F83" i="2"/>
  <c r="G83" i="2"/>
  <c r="H83" i="2"/>
  <c r="I84" i="2" s="1"/>
  <c r="E30" i="2"/>
  <c r="D30" i="2"/>
  <c r="K29" i="2"/>
  <c r="K30" i="2" s="1"/>
  <c r="N29" i="2"/>
  <c r="O109" i="6" l="1"/>
  <c r="G109" i="6"/>
  <c r="G111" i="6" s="1"/>
  <c r="O114" i="6" s="1"/>
  <c r="O120" i="6" s="1"/>
  <c r="L112" i="1" s="1"/>
  <c r="J109" i="6"/>
  <c r="J111" i="6" s="1"/>
  <c r="P114" i="6" s="1"/>
  <c r="P120" i="6" s="1"/>
  <c r="L114" i="1" s="1"/>
  <c r="C109" i="6"/>
  <c r="K109" i="6"/>
  <c r="F109" i="6"/>
  <c r="N109" i="6"/>
  <c r="N124" i="6" s="1"/>
  <c r="L118" i="1" s="1"/>
  <c r="E109" i="6"/>
  <c r="E111" i="6" s="1"/>
  <c r="I109" i="6"/>
  <c r="M109" i="6"/>
  <c r="D109" i="6"/>
  <c r="H109" i="6"/>
  <c r="L109" i="6"/>
  <c r="I158" i="6"/>
  <c r="H158" i="6"/>
  <c r="E158" i="6"/>
  <c r="C161" i="6" s="1"/>
  <c r="F158" i="6"/>
  <c r="F111" i="6"/>
  <c r="C205" i="6"/>
  <c r="P167" i="6"/>
  <c r="N171" i="6"/>
  <c r="C171" i="6"/>
  <c r="O167" i="6"/>
  <c r="K158" i="6"/>
  <c r="P169" i="6" s="1"/>
  <c r="L158" i="6"/>
  <c r="M163" i="6" s="1"/>
  <c r="G92" i="4"/>
  <c r="G95" i="4" s="1"/>
  <c r="B99" i="7"/>
  <c r="M107" i="4"/>
  <c r="D107" i="4"/>
  <c r="G37" i="4"/>
  <c r="G40" i="4" s="1"/>
  <c r="H107" i="4"/>
  <c r="I37" i="4"/>
  <c r="H37" i="4"/>
  <c r="J107" i="4"/>
  <c r="J37" i="4"/>
  <c r="J40" i="4" s="1"/>
  <c r="K108" i="4"/>
  <c r="K92" i="4"/>
  <c r="L92" i="4"/>
  <c r="M95" i="4" s="1"/>
  <c r="N95" i="4" s="1"/>
  <c r="H108" i="4"/>
  <c r="I92" i="4"/>
  <c r="H92" i="4"/>
  <c r="E107" i="4"/>
  <c r="E37" i="4"/>
  <c r="C40" i="4" s="1"/>
  <c r="F37" i="4"/>
  <c r="K107" i="4"/>
  <c r="K37" i="4"/>
  <c r="L37" i="4"/>
  <c r="M40" i="4" s="1"/>
  <c r="N40" i="4" s="1"/>
  <c r="J108" i="4"/>
  <c r="J92" i="4"/>
  <c r="J95" i="4" s="1"/>
  <c r="E108" i="4"/>
  <c r="E92" i="4"/>
  <c r="C95" i="4" s="1"/>
  <c r="F92" i="4"/>
  <c r="E84" i="2"/>
  <c r="H84" i="2"/>
  <c r="M85" i="2"/>
  <c r="L85" i="2"/>
  <c r="K86" i="2" s="1"/>
  <c r="J85" i="2"/>
  <c r="K85" i="2"/>
  <c r="L86" i="2" s="1"/>
  <c r="I85" i="2"/>
  <c r="H86" i="2" s="1"/>
  <c r="J30" i="2"/>
  <c r="I30" i="2"/>
  <c r="H31" i="2" s="1"/>
  <c r="F31" i="2"/>
  <c r="L31" i="2"/>
  <c r="C31" i="2"/>
  <c r="C124" i="6" l="1"/>
  <c r="L111" i="1" s="1"/>
  <c r="C114" i="6"/>
  <c r="D114" i="6" s="1"/>
  <c r="C203" i="6"/>
  <c r="H111" i="6"/>
  <c r="O122" i="6" s="1"/>
  <c r="L113" i="1" s="1"/>
  <c r="L111" i="6"/>
  <c r="K111" i="6"/>
  <c r="C206" i="6" s="1"/>
  <c r="I111" i="6"/>
  <c r="D116" i="6"/>
  <c r="C116" i="6"/>
  <c r="C122" i="6" s="1"/>
  <c r="L110" i="1" s="1"/>
  <c r="C163" i="6"/>
  <c r="C169" i="6" s="1"/>
  <c r="D163" i="6"/>
  <c r="O169" i="6"/>
  <c r="M161" i="6"/>
  <c r="N163" i="6"/>
  <c r="N161" i="6"/>
  <c r="N167" i="6" s="1"/>
  <c r="C202" i="6"/>
  <c r="O156" i="7"/>
  <c r="M156" i="7"/>
  <c r="K156" i="7"/>
  <c r="I156" i="7"/>
  <c r="G156" i="7"/>
  <c r="G158" i="7" s="1"/>
  <c r="O161" i="7" s="1"/>
  <c r="E156" i="7"/>
  <c r="C156" i="7"/>
  <c r="P156" i="7"/>
  <c r="N156" i="7"/>
  <c r="L156" i="7"/>
  <c r="J156" i="7"/>
  <c r="J158" i="7" s="1"/>
  <c r="P161" i="7" s="1"/>
  <c r="H156" i="7"/>
  <c r="F156" i="7"/>
  <c r="D156" i="7"/>
  <c r="B99" i="4"/>
  <c r="B44" i="4"/>
  <c r="M87" i="2"/>
  <c r="M90" i="2" s="1"/>
  <c r="M108" i="2" s="1"/>
  <c r="L87" i="2"/>
  <c r="L90" i="2" s="1"/>
  <c r="L108" i="2" s="1"/>
  <c r="N86" i="2"/>
  <c r="N90" i="2" s="1"/>
  <c r="N108" i="2" s="1"/>
  <c r="F85" i="2"/>
  <c r="E86" i="2" s="1"/>
  <c r="H85" i="2"/>
  <c r="I86" i="2" s="1"/>
  <c r="G85" i="2"/>
  <c r="D85" i="2"/>
  <c r="C86" i="2" s="1"/>
  <c r="C90" i="2" s="1"/>
  <c r="C108" i="2" s="1"/>
  <c r="E85" i="2"/>
  <c r="F86" i="2" s="1"/>
  <c r="M32" i="2"/>
  <c r="L32" i="2"/>
  <c r="H32" i="2"/>
  <c r="F32" i="2"/>
  <c r="G32" i="2"/>
  <c r="C204" i="6" l="1"/>
  <c r="M116" i="6"/>
  <c r="N116" i="6" s="1"/>
  <c r="N122" i="6" s="1"/>
  <c r="L117" i="1" s="1"/>
  <c r="P122" i="6"/>
  <c r="L115" i="1" s="1"/>
  <c r="N177" i="6"/>
  <c r="N175" i="6"/>
  <c r="N169" i="6"/>
  <c r="B177" i="6"/>
  <c r="B175" i="6"/>
  <c r="C167" i="6"/>
  <c r="D161" i="6"/>
  <c r="B130" i="6"/>
  <c r="L120" i="1" s="1"/>
  <c r="B128" i="6"/>
  <c r="L121" i="1" s="1"/>
  <c r="C120" i="6"/>
  <c r="L109" i="1" s="1"/>
  <c r="P167" i="7"/>
  <c r="N171" i="7"/>
  <c r="O167" i="7"/>
  <c r="I158" i="7"/>
  <c r="H158" i="7"/>
  <c r="F158" i="7"/>
  <c r="E158" i="7"/>
  <c r="C171" i="7"/>
  <c r="C161" i="7"/>
  <c r="L158" i="7"/>
  <c r="M163" i="7" s="1"/>
  <c r="M161" i="7" s="1"/>
  <c r="K158" i="7"/>
  <c r="N163" i="7"/>
  <c r="O109" i="4"/>
  <c r="C109" i="4"/>
  <c r="N109" i="4"/>
  <c r="N124" i="4" s="1"/>
  <c r="C73" i="1" s="1"/>
  <c r="F109" i="4"/>
  <c r="G109" i="4"/>
  <c r="G111" i="4" s="1"/>
  <c r="O114" i="4" s="1"/>
  <c r="J109" i="4"/>
  <c r="J111" i="4" s="1"/>
  <c r="P114" i="4" s="1"/>
  <c r="BE154" i="4" s="1"/>
  <c r="K109" i="4"/>
  <c r="D109" i="4"/>
  <c r="H109" i="4"/>
  <c r="L109" i="4"/>
  <c r="P109" i="4"/>
  <c r="E109" i="4"/>
  <c r="I109" i="4"/>
  <c r="M109" i="4"/>
  <c r="H111" i="4"/>
  <c r="J87" i="2"/>
  <c r="J90" i="2" s="1"/>
  <c r="I87" i="2"/>
  <c r="I90" i="2" s="1"/>
  <c r="I108" i="2" s="1"/>
  <c r="K87" i="2"/>
  <c r="K90" i="2" s="1"/>
  <c r="K108" i="2" s="1"/>
  <c r="F87" i="2"/>
  <c r="F90" i="2" s="1"/>
  <c r="F108" i="2" s="1"/>
  <c r="H87" i="2"/>
  <c r="H90" i="2" s="1"/>
  <c r="H108" i="2" s="1"/>
  <c r="G87" i="2"/>
  <c r="G90" i="2" s="1"/>
  <c r="D87" i="2"/>
  <c r="D90" i="2" s="1"/>
  <c r="D108" i="2" s="1"/>
  <c r="E87" i="2"/>
  <c r="E90" i="2" s="1"/>
  <c r="E108" i="2" s="1"/>
  <c r="N114" i="6" l="1"/>
  <c r="M114" i="6"/>
  <c r="C201" i="6"/>
  <c r="P169" i="7"/>
  <c r="O169" i="7"/>
  <c r="D161" i="7"/>
  <c r="N161" i="7"/>
  <c r="N169" i="7"/>
  <c r="N167" i="7"/>
  <c r="C163" i="7"/>
  <c r="C169" i="7" s="1"/>
  <c r="D163" i="7"/>
  <c r="AX137" i="4"/>
  <c r="AX136" i="4"/>
  <c r="AQ156" i="4"/>
  <c r="C124" i="4"/>
  <c r="C66" i="1" s="1"/>
  <c r="E111" i="4"/>
  <c r="C114" i="4" s="1"/>
  <c r="AR144" i="4"/>
  <c r="AR153" i="4"/>
  <c r="AQ148" i="4"/>
  <c r="AQ144" i="4"/>
  <c r="AQ155" i="4"/>
  <c r="BF142" i="4"/>
  <c r="BE138" i="4"/>
  <c r="BF146" i="4"/>
  <c r="P120" i="4"/>
  <c r="C69" i="1" s="1"/>
  <c r="BE149" i="4"/>
  <c r="AR151" i="4"/>
  <c r="AR152" i="4"/>
  <c r="AR155" i="4"/>
  <c r="AR137" i="4"/>
  <c r="AR140" i="4"/>
  <c r="AQ139" i="4"/>
  <c r="AQ141" i="4"/>
  <c r="AQ140" i="4"/>
  <c r="AQ150" i="4"/>
  <c r="AQ151" i="4"/>
  <c r="AQ154" i="4"/>
  <c r="K111" i="4"/>
  <c r="BL156" i="4" s="1"/>
  <c r="AJ154" i="4"/>
  <c r="BF154" i="4"/>
  <c r="BF140" i="4"/>
  <c r="BF149" i="4"/>
  <c r="BE136" i="4"/>
  <c r="BE146" i="4"/>
  <c r="BE152" i="4"/>
  <c r="BF148" i="4"/>
  <c r="BF153" i="4"/>
  <c r="BF155" i="4"/>
  <c r="BF137" i="4"/>
  <c r="BF150" i="4"/>
  <c r="BE143" i="4"/>
  <c r="BE141" i="4"/>
  <c r="BE142" i="4"/>
  <c r="BE145" i="4"/>
  <c r="BE153" i="4"/>
  <c r="BE156" i="4"/>
  <c r="BF151" i="4"/>
  <c r="BF138" i="4"/>
  <c r="BF156" i="4"/>
  <c r="BF145" i="4"/>
  <c r="BF139" i="4"/>
  <c r="BF147" i="4"/>
  <c r="BF143" i="4"/>
  <c r="BF152" i="4"/>
  <c r="BF144" i="4"/>
  <c r="BF141" i="4"/>
  <c r="BE139" i="4"/>
  <c r="BE148" i="4"/>
  <c r="BE137" i="4"/>
  <c r="BF136" i="4"/>
  <c r="BE140" i="4"/>
  <c r="BE144" i="4"/>
  <c r="BE150" i="4"/>
  <c r="BE147" i="4"/>
  <c r="BE151" i="4"/>
  <c r="BE155" i="4"/>
  <c r="F111" i="4"/>
  <c r="O122" i="4" s="1"/>
  <c r="C68" i="1" s="1"/>
  <c r="L111" i="4"/>
  <c r="M116" i="4" s="1"/>
  <c r="AR154" i="4"/>
  <c r="AR148" i="4"/>
  <c r="AR146" i="4"/>
  <c r="AR149" i="4"/>
  <c r="AR150" i="4"/>
  <c r="AR147" i="4"/>
  <c r="AR143" i="4"/>
  <c r="AR156" i="4"/>
  <c r="AR145" i="4"/>
  <c r="AR139" i="4"/>
  <c r="AQ136" i="4"/>
  <c r="AQ143" i="4"/>
  <c r="AQ137" i="4"/>
  <c r="O120" i="4"/>
  <c r="C67" i="1" s="1"/>
  <c r="AQ138" i="4"/>
  <c r="AQ142" i="4"/>
  <c r="AQ146" i="4"/>
  <c r="AQ145" i="4"/>
  <c r="AQ149" i="4"/>
  <c r="AQ153" i="4"/>
  <c r="AQ152" i="4"/>
  <c r="I111" i="4"/>
  <c r="BL149" i="4"/>
  <c r="BL136" i="4"/>
  <c r="BM140" i="4"/>
  <c r="BM153" i="4"/>
  <c r="AJ156" i="4"/>
  <c r="AK154" i="4"/>
  <c r="BM138" i="4"/>
  <c r="BM154" i="4"/>
  <c r="AX156" i="4"/>
  <c r="AX154" i="4"/>
  <c r="AX152" i="4"/>
  <c r="AX155" i="4"/>
  <c r="AX153" i="4"/>
  <c r="AX151" i="4"/>
  <c r="AX149" i="4"/>
  <c r="AX147" i="4"/>
  <c r="AX145" i="4"/>
  <c r="AX150" i="4"/>
  <c r="AX146" i="4"/>
  <c r="AX144" i="4"/>
  <c r="AX142" i="4"/>
  <c r="AX140" i="4"/>
  <c r="AX138" i="4"/>
  <c r="AX148" i="4"/>
  <c r="AX141" i="4"/>
  <c r="AX143" i="4"/>
  <c r="AX139" i="4"/>
  <c r="AY136" i="4"/>
  <c r="AY141" i="4"/>
  <c r="AY138" i="4"/>
  <c r="AY148" i="4"/>
  <c r="AY151" i="4"/>
  <c r="AY154" i="4"/>
  <c r="AY150" i="4"/>
  <c r="AY146" i="4"/>
  <c r="AY144" i="4"/>
  <c r="AY149" i="4"/>
  <c r="AY152" i="4"/>
  <c r="AY143" i="4"/>
  <c r="AY142" i="4"/>
  <c r="AY147" i="4"/>
  <c r="AY155" i="4"/>
  <c r="AY137" i="4"/>
  <c r="AY139" i="4"/>
  <c r="AY140" i="4"/>
  <c r="AY145" i="4"/>
  <c r="AY153" i="4"/>
  <c r="AY156" i="4"/>
  <c r="G92" i="2"/>
  <c r="G95" i="2" s="1"/>
  <c r="G108" i="2"/>
  <c r="J92" i="2"/>
  <c r="J95" i="2" s="1"/>
  <c r="J108" i="2"/>
  <c r="F92" i="2"/>
  <c r="E92" i="2"/>
  <c r="C95" i="2" s="1"/>
  <c r="H92" i="2"/>
  <c r="I92" i="2"/>
  <c r="L92" i="2"/>
  <c r="M95" i="2" s="1"/>
  <c r="N95" i="2" s="1"/>
  <c r="K92" i="2"/>
  <c r="N120" i="6" l="1"/>
  <c r="L116" i="1" s="1"/>
  <c r="N130" i="6"/>
  <c r="L122" i="1" s="1"/>
  <c r="N128" i="6"/>
  <c r="B175" i="7"/>
  <c r="N177" i="7"/>
  <c r="N175" i="7"/>
  <c r="M114" i="4"/>
  <c r="N116" i="4"/>
  <c r="D114" i="4"/>
  <c r="N114" i="4"/>
  <c r="N120" i="4" s="1"/>
  <c r="C71" i="1" s="1"/>
  <c r="BK136" i="4"/>
  <c r="BK137" i="4"/>
  <c r="BK139" i="4"/>
  <c r="BK141" i="4"/>
  <c r="BK143" i="4"/>
  <c r="BK145" i="4"/>
  <c r="BK147" i="4"/>
  <c r="BK149" i="4"/>
  <c r="BK151" i="4"/>
  <c r="BK153" i="4"/>
  <c r="BK155" i="4"/>
  <c r="AI137" i="4"/>
  <c r="AI139" i="4"/>
  <c r="AI141" i="4"/>
  <c r="AI143" i="4"/>
  <c r="AI145" i="4"/>
  <c r="AI147" i="4"/>
  <c r="AI149" i="4"/>
  <c r="AI151" i="4"/>
  <c r="AI153" i="4"/>
  <c r="AI155" i="4"/>
  <c r="AI136" i="4"/>
  <c r="BK138" i="4"/>
  <c r="BK140" i="4"/>
  <c r="BK142" i="4"/>
  <c r="BK144" i="4"/>
  <c r="BK146" i="4"/>
  <c r="BK148" i="4"/>
  <c r="BK150" i="4"/>
  <c r="BK152" i="4"/>
  <c r="BK154" i="4"/>
  <c r="BK156" i="4"/>
  <c r="AI138" i="4"/>
  <c r="AI140" i="4"/>
  <c r="AI142" i="4"/>
  <c r="AI144" i="4"/>
  <c r="AI146" i="4"/>
  <c r="AI148" i="4"/>
  <c r="AI150" i="4"/>
  <c r="AI152" i="4"/>
  <c r="AI154" i="4"/>
  <c r="AI156" i="4"/>
  <c r="AK136" i="4"/>
  <c r="AW137" i="4"/>
  <c r="AW139" i="4"/>
  <c r="AW141" i="4"/>
  <c r="AW143" i="4"/>
  <c r="AW145" i="4"/>
  <c r="AW147" i="4"/>
  <c r="AW149" i="4"/>
  <c r="AW151" i="4"/>
  <c r="AW153" i="4"/>
  <c r="AW155" i="4"/>
  <c r="AW136" i="4"/>
  <c r="AW138" i="4"/>
  <c r="AW140" i="4"/>
  <c r="AW142" i="4"/>
  <c r="AW144" i="4"/>
  <c r="AW146" i="4"/>
  <c r="AW148" i="4"/>
  <c r="AW150" i="4"/>
  <c r="AW152" i="4"/>
  <c r="AW154" i="4"/>
  <c r="AW156" i="4"/>
  <c r="AR136" i="4"/>
  <c r="AR142" i="4"/>
  <c r="AQ147" i="4"/>
  <c r="AR141" i="4"/>
  <c r="AR138" i="4"/>
  <c r="AJ148" i="4"/>
  <c r="BM141" i="4"/>
  <c r="BM149" i="4"/>
  <c r="BL143" i="4"/>
  <c r="BL144" i="4"/>
  <c r="BL155" i="4"/>
  <c r="BM155" i="4"/>
  <c r="BM146" i="4"/>
  <c r="BM144" i="4"/>
  <c r="BM152" i="4"/>
  <c r="BM139" i="4"/>
  <c r="P122" i="4"/>
  <c r="BL137" i="4"/>
  <c r="BL140" i="4"/>
  <c r="BL145" i="4"/>
  <c r="BL151" i="4"/>
  <c r="BL154" i="4"/>
  <c r="AK150" i="4"/>
  <c r="AK144" i="4"/>
  <c r="AJ145" i="4"/>
  <c r="AK145" i="4"/>
  <c r="AK141" i="4"/>
  <c r="AJ142" i="4"/>
  <c r="AJ153" i="4"/>
  <c r="AK156" i="4"/>
  <c r="AK143" i="4"/>
  <c r="AK149" i="4"/>
  <c r="AK148" i="4"/>
  <c r="AK142" i="4"/>
  <c r="AJ139" i="4"/>
  <c r="AJ137" i="4"/>
  <c r="AJ138" i="4"/>
  <c r="AJ146" i="4"/>
  <c r="AJ149" i="4"/>
  <c r="AJ152" i="4"/>
  <c r="BM151" i="4"/>
  <c r="BM150" i="4"/>
  <c r="BM145" i="4"/>
  <c r="BM137" i="4"/>
  <c r="BM136" i="4"/>
  <c r="BM156" i="4"/>
  <c r="BM148" i="4"/>
  <c r="BM143" i="4"/>
  <c r="BM147" i="4"/>
  <c r="BM142" i="4"/>
  <c r="BL139" i="4"/>
  <c r="BL148" i="4"/>
  <c r="BL141" i="4"/>
  <c r="BL138" i="4"/>
  <c r="BL142" i="4"/>
  <c r="BL146" i="4"/>
  <c r="BL147" i="4"/>
  <c r="BL150" i="4"/>
  <c r="BL153" i="4"/>
  <c r="BL152" i="4"/>
  <c r="AK155" i="4"/>
  <c r="AK152" i="4"/>
  <c r="AK146" i="4"/>
  <c r="AK139" i="4"/>
  <c r="AK138" i="4"/>
  <c r="AK140" i="4"/>
  <c r="AK153" i="4"/>
  <c r="AK151" i="4"/>
  <c r="AK147" i="4"/>
  <c r="AK137" i="4"/>
  <c r="D116" i="4"/>
  <c r="AJ143" i="4"/>
  <c r="C116" i="4"/>
  <c r="C122" i="4" s="1"/>
  <c r="C65" i="1" s="1"/>
  <c r="AJ141" i="4"/>
  <c r="AJ136" i="4"/>
  <c r="AJ140" i="4"/>
  <c r="AJ144" i="4"/>
  <c r="AJ150" i="4"/>
  <c r="AJ147" i="4"/>
  <c r="AJ151" i="4"/>
  <c r="AJ155" i="4"/>
  <c r="AP155" i="4"/>
  <c r="AP153" i="4"/>
  <c r="AP156" i="4"/>
  <c r="AP154" i="4"/>
  <c r="AP152" i="4"/>
  <c r="AP150" i="4"/>
  <c r="AP148" i="4"/>
  <c r="AP146" i="4"/>
  <c r="AP149" i="4"/>
  <c r="AP145" i="4"/>
  <c r="AP143" i="4"/>
  <c r="AP141" i="4"/>
  <c r="AP139" i="4"/>
  <c r="AP137" i="4"/>
  <c r="AP136" i="4"/>
  <c r="AP151" i="4"/>
  <c r="AP147" i="4"/>
  <c r="AP144" i="4"/>
  <c r="AP140" i="4"/>
  <c r="AP142" i="4"/>
  <c r="AP138" i="4"/>
  <c r="BD156" i="4"/>
  <c r="BD148" i="4"/>
  <c r="BD143" i="4"/>
  <c r="BD136" i="4"/>
  <c r="BD151" i="4"/>
  <c r="B99" i="2"/>
  <c r="D52" i="2"/>
  <c r="D3" i="2"/>
  <c r="B40" i="2" s="1"/>
  <c r="BD153" i="4" l="1"/>
  <c r="C70" i="1"/>
  <c r="BD138" i="4"/>
  <c r="BD144" i="4"/>
  <c r="BD139" i="4"/>
  <c r="BD149" i="4"/>
  <c r="BD152" i="4"/>
  <c r="BD155" i="4"/>
  <c r="C207" i="6"/>
  <c r="C212" i="6" s="1"/>
  <c r="C215" i="6" s="1"/>
  <c r="L125" i="1" s="1"/>
  <c r="L123" i="1"/>
  <c r="B128" i="4"/>
  <c r="C76" i="1" s="1"/>
  <c r="N128" i="4"/>
  <c r="C78" i="1" s="1"/>
  <c r="N122" i="4"/>
  <c r="C72" i="1" s="1"/>
  <c r="AD136" i="4"/>
  <c r="BD142" i="4"/>
  <c r="BD140" i="4"/>
  <c r="BD147" i="4"/>
  <c r="BD137" i="4"/>
  <c r="BD141" i="4"/>
  <c r="BD145" i="4"/>
  <c r="BD146" i="4"/>
  <c r="BD150" i="4"/>
  <c r="BD154" i="4"/>
  <c r="C120" i="4"/>
  <c r="C64" i="1" s="1"/>
  <c r="B130" i="4"/>
  <c r="C75" i="1" s="1"/>
  <c r="N130" i="4"/>
  <c r="C77" i="1" s="1"/>
  <c r="D19" i="2"/>
  <c r="C19" i="2"/>
  <c r="BS139" i="4" l="1"/>
  <c r="BS147" i="4"/>
  <c r="BS155" i="4"/>
  <c r="BS143" i="4"/>
  <c r="BS151" i="4"/>
  <c r="BS136" i="4"/>
  <c r="BS149" i="4"/>
  <c r="BS141" i="4"/>
  <c r="BS154" i="4"/>
  <c r="BS150" i="4"/>
  <c r="BS146" i="4"/>
  <c r="BS142" i="4"/>
  <c r="BS153" i="4"/>
  <c r="BS145" i="4"/>
  <c r="BS137" i="4"/>
  <c r="BS156" i="4"/>
  <c r="BS152" i="4"/>
  <c r="BS148" i="4"/>
  <c r="BS144" i="4"/>
  <c r="BS140" i="4"/>
  <c r="BS138" i="4"/>
  <c r="BT136" i="4"/>
  <c r="BT153" i="4"/>
  <c r="BT149" i="4"/>
  <c r="BT145" i="4"/>
  <c r="BT141" i="4"/>
  <c r="BT137" i="4"/>
  <c r="BT154" i="4"/>
  <c r="BT150" i="4"/>
  <c r="BT146" i="4"/>
  <c r="BT142" i="4"/>
  <c r="BT138" i="4"/>
  <c r="BT155" i="4"/>
  <c r="BT151" i="4"/>
  <c r="BT147" i="4"/>
  <c r="BT143" i="4"/>
  <c r="BT139" i="4"/>
  <c r="BT156" i="4"/>
  <c r="BT152" i="4"/>
  <c r="BT148" i="4"/>
  <c r="BT144" i="4"/>
  <c r="BT140" i="4"/>
  <c r="BU154" i="4"/>
  <c r="BU146" i="4"/>
  <c r="BU138" i="4"/>
  <c r="BU151" i="4"/>
  <c r="BU143" i="4"/>
  <c r="BU156" i="4"/>
  <c r="BU148" i="4"/>
  <c r="BU140" i="4"/>
  <c r="BU153" i="4"/>
  <c r="BU145" i="4"/>
  <c r="BU137" i="4"/>
  <c r="BU150" i="4"/>
  <c r="BU142" i="4"/>
  <c r="BU155" i="4"/>
  <c r="BU147" i="4"/>
  <c r="BU139" i="4"/>
  <c r="BU152" i="4"/>
  <c r="BU144" i="4"/>
  <c r="BU136" i="4"/>
  <c r="BU149" i="4"/>
  <c r="BU141" i="4"/>
  <c r="AB137" i="4"/>
  <c r="AB139" i="4"/>
  <c r="AB141" i="4"/>
  <c r="AB143" i="4"/>
  <c r="AB145" i="4"/>
  <c r="AB147" i="4"/>
  <c r="AB149" i="4"/>
  <c r="AB151" i="4"/>
  <c r="AB153" i="4"/>
  <c r="AB155" i="4"/>
  <c r="AB136" i="4"/>
  <c r="AB138" i="4"/>
  <c r="AB140" i="4"/>
  <c r="AB142" i="4"/>
  <c r="AB144" i="4"/>
  <c r="AB146" i="4"/>
  <c r="AB148" i="4"/>
  <c r="AB150" i="4"/>
  <c r="AB152" i="4"/>
  <c r="AB154" i="4"/>
  <c r="AB156" i="4"/>
  <c r="AD137" i="4"/>
  <c r="AD139" i="4"/>
  <c r="AD141" i="4"/>
  <c r="AD143" i="4"/>
  <c r="AD145" i="4"/>
  <c r="AD147" i="4"/>
  <c r="AD149" i="4"/>
  <c r="AD151" i="4"/>
  <c r="AD153" i="4"/>
  <c r="AD155" i="4"/>
  <c r="AC137" i="4"/>
  <c r="AC139" i="4"/>
  <c r="AC141" i="4"/>
  <c r="AC143" i="4"/>
  <c r="AC145" i="4"/>
  <c r="AC147" i="4"/>
  <c r="AC149" i="4"/>
  <c r="AC151" i="4"/>
  <c r="AC153" i="4"/>
  <c r="AC155" i="4"/>
  <c r="AD156" i="4"/>
  <c r="AD138" i="4"/>
  <c r="AD140" i="4"/>
  <c r="AD142" i="4"/>
  <c r="AD144" i="4"/>
  <c r="AD146" i="4"/>
  <c r="AD148" i="4"/>
  <c r="AD150" i="4"/>
  <c r="AD152" i="4"/>
  <c r="AD154" i="4"/>
  <c r="AC156" i="4"/>
  <c r="AC138" i="4"/>
  <c r="AC140" i="4"/>
  <c r="AC142" i="4"/>
  <c r="AC144" i="4"/>
  <c r="AC146" i="4"/>
  <c r="AC148" i="4"/>
  <c r="AC150" i="4"/>
  <c r="AC152" i="4"/>
  <c r="AC154" i="4"/>
  <c r="AC136" i="4"/>
  <c r="E20" i="2"/>
  <c r="D20" i="2"/>
  <c r="C21" i="2" s="1"/>
  <c r="F21" i="2" l="1"/>
  <c r="G22" i="2" l="1"/>
  <c r="F22" i="2"/>
  <c r="E23" i="2" s="1"/>
  <c r="H22" i="2"/>
  <c r="I23" i="2" l="1"/>
  <c r="E24" i="2"/>
  <c r="F25" i="2" s="1"/>
  <c r="D24" i="2"/>
  <c r="C25" i="2" l="1"/>
  <c r="I24" i="2"/>
  <c r="H25" i="2" s="1"/>
  <c r="H26" i="2" s="1"/>
  <c r="I27" i="2" s="1"/>
  <c r="K24" i="2"/>
  <c r="J24" i="2"/>
  <c r="F26" i="2" l="1"/>
  <c r="E27" i="2" s="1"/>
  <c r="L25" i="2"/>
  <c r="G26" i="2"/>
  <c r="L26" i="2" l="1"/>
  <c r="K27" i="2" s="1"/>
  <c r="M26" i="2"/>
  <c r="E28" i="2"/>
  <c r="F29" i="2" s="1"/>
  <c r="D28" i="2"/>
  <c r="C29" i="2" l="1"/>
  <c r="C35" i="2" s="1"/>
  <c r="N27" i="2"/>
  <c r="J28" i="2"/>
  <c r="I28" i="2"/>
  <c r="K28" i="2"/>
  <c r="L29" i="2" s="1"/>
  <c r="M30" i="2" l="1"/>
  <c r="L30" i="2"/>
  <c r="C107" i="2"/>
  <c r="H29" i="2"/>
  <c r="K31" i="2" l="1"/>
  <c r="L35" i="2"/>
  <c r="F30" i="2"/>
  <c r="G30" i="2"/>
  <c r="G35" i="2" s="1"/>
  <c r="H30" i="2"/>
  <c r="I31" i="2" s="1"/>
  <c r="N31" i="2"/>
  <c r="N35" i="2" s="1"/>
  <c r="M35" i="2"/>
  <c r="M107" i="2" l="1"/>
  <c r="K32" i="2"/>
  <c r="J32" i="2"/>
  <c r="J35" i="2" s="1"/>
  <c r="I32" i="2"/>
  <c r="I35" i="2" s="1"/>
  <c r="E31" i="2"/>
  <c r="F35" i="2"/>
  <c r="L107" i="2"/>
  <c r="N107" i="2"/>
  <c r="G107" i="2"/>
  <c r="G37" i="2"/>
  <c r="G40" i="2" s="1"/>
  <c r="H35" i="2"/>
  <c r="K35" i="2"/>
  <c r="K37" i="2" s="1"/>
  <c r="I107" i="2" l="1"/>
  <c r="H107" i="2"/>
  <c r="H37" i="2"/>
  <c r="I37" i="2"/>
  <c r="K107" i="2"/>
  <c r="L37" i="2"/>
  <c r="M40" i="2" s="1"/>
  <c r="N40" i="2" s="1"/>
  <c r="D32" i="2"/>
  <c r="D35" i="2" s="1"/>
  <c r="E32" i="2"/>
  <c r="E35" i="2" s="1"/>
  <c r="F107" i="2"/>
  <c r="J107" i="2"/>
  <c r="J37" i="2"/>
  <c r="J40" i="2" s="1"/>
  <c r="F37" i="2" l="1"/>
  <c r="E107" i="2"/>
  <c r="E37" i="2"/>
  <c r="D107" i="2"/>
  <c r="B44" i="2" l="1"/>
  <c r="F109" i="2" l="1"/>
  <c r="P109" i="2"/>
  <c r="H109" i="2"/>
  <c r="E109" i="2"/>
  <c r="L109" i="2"/>
  <c r="I109" i="2"/>
  <c r="K109" i="2"/>
  <c r="L111" i="2" s="1"/>
  <c r="M116" i="2" s="1"/>
  <c r="N116" i="2" s="1"/>
  <c r="G109" i="2"/>
  <c r="G111" i="2" s="1"/>
  <c r="O114" i="2" s="1"/>
  <c r="O109" i="2"/>
  <c r="M109" i="2"/>
  <c r="N109" i="2"/>
  <c r="J109" i="2"/>
  <c r="J111" i="2" s="1"/>
  <c r="P114" i="2" s="1"/>
  <c r="BE137" i="2" s="1"/>
  <c r="D109" i="2"/>
  <c r="C109" i="2"/>
  <c r="C124" i="2" s="1"/>
  <c r="C21" i="1" s="1"/>
  <c r="N124" i="2"/>
  <c r="C28" i="1" s="1"/>
  <c r="P120" i="2"/>
  <c r="C24" i="1" s="1"/>
  <c r="K111" i="2"/>
  <c r="I111" i="2" l="1"/>
  <c r="P122" i="2" s="1"/>
  <c r="C25" i="1" s="1"/>
  <c r="E111" i="2"/>
  <c r="AJ138" i="2" s="1"/>
  <c r="H111" i="2"/>
  <c r="AY136" i="2" s="1"/>
  <c r="BF153" i="2"/>
  <c r="BF141" i="2"/>
  <c r="BE156" i="2"/>
  <c r="BF140" i="2"/>
  <c r="BF143" i="2"/>
  <c r="BF150" i="2"/>
  <c r="BE148" i="2"/>
  <c r="BE140" i="2"/>
  <c r="BE155" i="2"/>
  <c r="BE147" i="2"/>
  <c r="F111" i="2"/>
  <c r="BF156" i="2"/>
  <c r="BF146" i="2"/>
  <c r="BF144" i="2"/>
  <c r="BF137" i="2"/>
  <c r="BF147" i="2"/>
  <c r="BE152" i="2"/>
  <c r="BE144" i="2"/>
  <c r="BF136" i="2"/>
  <c r="BE151" i="2"/>
  <c r="BE143" i="2"/>
  <c r="M114" i="2"/>
  <c r="BF148" i="2"/>
  <c r="BF145" i="2"/>
  <c r="BF138" i="2"/>
  <c r="BF154" i="2"/>
  <c r="BF151" i="2"/>
  <c r="BF152" i="2"/>
  <c r="BF149" i="2"/>
  <c r="BF142" i="2"/>
  <c r="BF139" i="2"/>
  <c r="BF155" i="2"/>
  <c r="BE154" i="2"/>
  <c r="BE150" i="2"/>
  <c r="BE146" i="2"/>
  <c r="BE142" i="2"/>
  <c r="BE138" i="2"/>
  <c r="BE136" i="2"/>
  <c r="BE153" i="2"/>
  <c r="BE149" i="2"/>
  <c r="BE145" i="2"/>
  <c r="BE141" i="2"/>
  <c r="BE139" i="2"/>
  <c r="BL138" i="2"/>
  <c r="BL140" i="2"/>
  <c r="BL142" i="2"/>
  <c r="BL144" i="2"/>
  <c r="BL146" i="2"/>
  <c r="BL148" i="2"/>
  <c r="BL150" i="2"/>
  <c r="BL152" i="2"/>
  <c r="BL154" i="2"/>
  <c r="BL156" i="2"/>
  <c r="BL137" i="2"/>
  <c r="BL139" i="2"/>
  <c r="BL141" i="2"/>
  <c r="BL143" i="2"/>
  <c r="BL145" i="2"/>
  <c r="BL147" i="2"/>
  <c r="BL149" i="2"/>
  <c r="BL151" i="2"/>
  <c r="BL153" i="2"/>
  <c r="BL155" i="2"/>
  <c r="BL136" i="2"/>
  <c r="BM156" i="2"/>
  <c r="BM152" i="2"/>
  <c r="BM148" i="2"/>
  <c r="BM144" i="2"/>
  <c r="BM140" i="2"/>
  <c r="BM136" i="2"/>
  <c r="BM153" i="2"/>
  <c r="BM149" i="2"/>
  <c r="BM145" i="2"/>
  <c r="BM141" i="2"/>
  <c r="BM137" i="2"/>
  <c r="BM154" i="2"/>
  <c r="BM150" i="2"/>
  <c r="BM146" i="2"/>
  <c r="BM142" i="2"/>
  <c r="BM138" i="2"/>
  <c r="BM155" i="2"/>
  <c r="BM151" i="2"/>
  <c r="BM147" i="2"/>
  <c r="BM143" i="2"/>
  <c r="BM139" i="2"/>
  <c r="AJ147" i="2"/>
  <c r="AX150" i="2"/>
  <c r="AX145" i="2"/>
  <c r="AY153" i="2"/>
  <c r="AY140" i="2"/>
  <c r="AY146" i="2"/>
  <c r="AK136" i="2"/>
  <c r="AQ138" i="2"/>
  <c r="AR136" i="2"/>
  <c r="AQ137" i="2"/>
  <c r="AQ139" i="2"/>
  <c r="AQ140" i="2"/>
  <c r="AQ142" i="2"/>
  <c r="AQ144" i="2"/>
  <c r="AQ146" i="2"/>
  <c r="AQ148" i="2"/>
  <c r="AQ150" i="2"/>
  <c r="AQ152" i="2"/>
  <c r="AQ154" i="2"/>
  <c r="AQ156" i="2"/>
  <c r="AQ141" i="2"/>
  <c r="AQ143" i="2"/>
  <c r="AQ145" i="2"/>
  <c r="AQ147" i="2"/>
  <c r="AQ149" i="2"/>
  <c r="AQ151" i="2"/>
  <c r="AQ153" i="2"/>
  <c r="AQ155" i="2"/>
  <c r="AQ136" i="2"/>
  <c r="AR137" i="2"/>
  <c r="AR153" i="2"/>
  <c r="AR149" i="2"/>
  <c r="AR145" i="2"/>
  <c r="AR141" i="2"/>
  <c r="AR156" i="2"/>
  <c r="AR152" i="2"/>
  <c r="AR148" i="2"/>
  <c r="AR144" i="2"/>
  <c r="AR140" i="2"/>
  <c r="AR155" i="2"/>
  <c r="AR151" i="2"/>
  <c r="AR147" i="2"/>
  <c r="AR143" i="2"/>
  <c r="AR139" i="2"/>
  <c r="AR154" i="2"/>
  <c r="AR150" i="2"/>
  <c r="AR146" i="2"/>
  <c r="AR142" i="2"/>
  <c r="AR138" i="2"/>
  <c r="N122" i="2"/>
  <c r="C27" i="1" s="1"/>
  <c r="O120" i="2"/>
  <c r="C22" i="1" s="1"/>
  <c r="C116" i="2"/>
  <c r="C122" i="2" s="1"/>
  <c r="C20" i="1" s="1"/>
  <c r="N114" i="2"/>
  <c r="N120" i="2" s="1"/>
  <c r="C26" i="1" s="1"/>
  <c r="AK145" i="2" l="1"/>
  <c r="AJ152" i="2"/>
  <c r="AK152" i="2"/>
  <c r="AK142" i="2"/>
  <c r="AK151" i="2"/>
  <c r="AJ155" i="2"/>
  <c r="AJ139" i="2"/>
  <c r="AJ144" i="2"/>
  <c r="AK144" i="2"/>
  <c r="AK137" i="2"/>
  <c r="AK153" i="2"/>
  <c r="AK150" i="2"/>
  <c r="AK143" i="2"/>
  <c r="AJ151" i="2"/>
  <c r="AJ143" i="2"/>
  <c r="AJ156" i="2"/>
  <c r="AJ148" i="2"/>
  <c r="AJ140" i="2"/>
  <c r="D116" i="2"/>
  <c r="C114" i="2"/>
  <c r="BK137" i="2" s="1"/>
  <c r="AK140" i="2"/>
  <c r="AK148" i="2"/>
  <c r="AK156" i="2"/>
  <c r="AK141" i="2"/>
  <c r="AK149" i="2"/>
  <c r="AK138" i="2"/>
  <c r="AK146" i="2"/>
  <c r="AK154" i="2"/>
  <c r="AK139" i="2"/>
  <c r="AK147" i="2"/>
  <c r="AK155" i="2"/>
  <c r="AJ136" i="2"/>
  <c r="AJ153" i="2"/>
  <c r="AJ149" i="2"/>
  <c r="AJ145" i="2"/>
  <c r="AJ141" i="2"/>
  <c r="AJ137" i="2"/>
  <c r="AJ154" i="2"/>
  <c r="AJ150" i="2"/>
  <c r="AJ146" i="2"/>
  <c r="AJ142" i="2"/>
  <c r="AY143" i="2"/>
  <c r="AY156" i="2"/>
  <c r="AX153" i="2"/>
  <c r="AX137" i="2"/>
  <c r="AX142" i="2"/>
  <c r="AY138" i="2"/>
  <c r="AY154" i="2"/>
  <c r="AY151" i="2"/>
  <c r="AY148" i="2"/>
  <c r="AY145" i="2"/>
  <c r="AX136" i="2"/>
  <c r="AX149" i="2"/>
  <c r="AX141" i="2"/>
  <c r="AX154" i="2"/>
  <c r="AX146" i="2"/>
  <c r="AX138" i="2"/>
  <c r="O122" i="2"/>
  <c r="AP152" i="2" s="1"/>
  <c r="AY142" i="2"/>
  <c r="AY150" i="2"/>
  <c r="AY139" i="2"/>
  <c r="AY147" i="2"/>
  <c r="AY155" i="2"/>
  <c r="AY144" i="2"/>
  <c r="AY152" i="2"/>
  <c r="AY141" i="2"/>
  <c r="AY149" i="2"/>
  <c r="AY137" i="2"/>
  <c r="AX155" i="2"/>
  <c r="AX151" i="2"/>
  <c r="AX147" i="2"/>
  <c r="AX143" i="2"/>
  <c r="AX139" i="2"/>
  <c r="AX156" i="2"/>
  <c r="AX152" i="2"/>
  <c r="AX148" i="2"/>
  <c r="AX144" i="2"/>
  <c r="AX140" i="2"/>
  <c r="N128" i="2"/>
  <c r="C33" i="1" s="1"/>
  <c r="BD138" i="2"/>
  <c r="BD140" i="2"/>
  <c r="BD142" i="2"/>
  <c r="BD144" i="2"/>
  <c r="BD146" i="2"/>
  <c r="BD148" i="2"/>
  <c r="BD150" i="2"/>
  <c r="BD152" i="2"/>
  <c r="BD154" i="2"/>
  <c r="BD156" i="2"/>
  <c r="BD137" i="2"/>
  <c r="BD139" i="2"/>
  <c r="BD141" i="2"/>
  <c r="BD143" i="2"/>
  <c r="BD145" i="2"/>
  <c r="BD147" i="2"/>
  <c r="BD149" i="2"/>
  <c r="BD151" i="2"/>
  <c r="BD153" i="2"/>
  <c r="BD155" i="2"/>
  <c r="BD136" i="2"/>
  <c r="BK151" i="2"/>
  <c r="BK146" i="2"/>
  <c r="AI151" i="2"/>
  <c r="AI156" i="2"/>
  <c r="AI140" i="2"/>
  <c r="AW154" i="2"/>
  <c r="AW151" i="2"/>
  <c r="AW140" i="2"/>
  <c r="N130" i="2"/>
  <c r="C32" i="1" s="1"/>
  <c r="C120" i="2" l="1"/>
  <c r="C19" i="1" s="1"/>
  <c r="B130" i="2"/>
  <c r="C30" i="1" s="1"/>
  <c r="AW156" i="2"/>
  <c r="AW138" i="2"/>
  <c r="AW149" i="2"/>
  <c r="AI148" i="2"/>
  <c r="AI143" i="2"/>
  <c r="BK154" i="2"/>
  <c r="BK138" i="2"/>
  <c r="BK143" i="2"/>
  <c r="D114" i="2"/>
  <c r="AW148" i="2"/>
  <c r="AW143" i="2"/>
  <c r="AP147" i="2"/>
  <c r="AW146" i="2"/>
  <c r="AW141" i="2"/>
  <c r="AI136" i="2"/>
  <c r="AI144" i="2"/>
  <c r="AI152" i="2"/>
  <c r="AI139" i="2"/>
  <c r="AI147" i="2"/>
  <c r="AI155" i="2"/>
  <c r="BK150" i="2"/>
  <c r="BK142" i="2"/>
  <c r="BK155" i="2"/>
  <c r="BK147" i="2"/>
  <c r="BK139" i="2"/>
  <c r="AB136" i="2"/>
  <c r="B128" i="2"/>
  <c r="C31" i="1" s="1"/>
  <c r="AW136" i="2"/>
  <c r="AW144" i="2"/>
  <c r="AW152" i="2"/>
  <c r="AW139" i="2"/>
  <c r="AW147" i="2"/>
  <c r="AW155" i="2"/>
  <c r="AW142" i="2"/>
  <c r="AW150" i="2"/>
  <c r="AW137" i="2"/>
  <c r="AW145" i="2"/>
  <c r="AW153" i="2"/>
  <c r="AI138" i="2"/>
  <c r="AI142" i="2"/>
  <c r="AI146" i="2"/>
  <c r="AI150" i="2"/>
  <c r="AI154" i="2"/>
  <c r="AI137" i="2"/>
  <c r="AI141" i="2"/>
  <c r="AI145" i="2"/>
  <c r="AI149" i="2"/>
  <c r="AI153" i="2"/>
  <c r="BK156" i="2"/>
  <c r="BK152" i="2"/>
  <c r="BK148" i="2"/>
  <c r="BK144" i="2"/>
  <c r="BK140" i="2"/>
  <c r="BK136" i="2"/>
  <c r="BK153" i="2"/>
  <c r="BK149" i="2"/>
  <c r="BK145" i="2"/>
  <c r="BK141" i="2"/>
  <c r="AP138" i="2"/>
  <c r="C23" i="1"/>
  <c r="AP155" i="2"/>
  <c r="AP139" i="2"/>
  <c r="AP144" i="2"/>
  <c r="AP151" i="2"/>
  <c r="AP143" i="2"/>
  <c r="AP156" i="2"/>
  <c r="AP148" i="2"/>
  <c r="AP140" i="2"/>
  <c r="AP136" i="2"/>
  <c r="AP153" i="2"/>
  <c r="AP149" i="2"/>
  <c r="AP145" i="2"/>
  <c r="AP141" i="2"/>
  <c r="AP137" i="2"/>
  <c r="AP154" i="2"/>
  <c r="AP150" i="2"/>
  <c r="AP146" i="2"/>
  <c r="AP142" i="2"/>
  <c r="BU140" i="2"/>
  <c r="BU144" i="2"/>
  <c r="BU148" i="2"/>
  <c r="BU152" i="2"/>
  <c r="BU156" i="2"/>
  <c r="BU139" i="2"/>
  <c r="BU143" i="2"/>
  <c r="BU147" i="2"/>
  <c r="BU151" i="2"/>
  <c r="BU155" i="2"/>
  <c r="BU138" i="2"/>
  <c r="BU142" i="2"/>
  <c r="BU146" i="2"/>
  <c r="BU150" i="2"/>
  <c r="BU154" i="2"/>
  <c r="BU137" i="2"/>
  <c r="BU141" i="2"/>
  <c r="BU145" i="2"/>
  <c r="BU149" i="2"/>
  <c r="BU153" i="2"/>
  <c r="BU136" i="2"/>
  <c r="BT156" i="2"/>
  <c r="BT138" i="2"/>
  <c r="BT140" i="2"/>
  <c r="BT142" i="2"/>
  <c r="BT144" i="2"/>
  <c r="BT146" i="2"/>
  <c r="BT148" i="2"/>
  <c r="BT150" i="2"/>
  <c r="BT152" i="2"/>
  <c r="BT154" i="2"/>
  <c r="BT136" i="2"/>
  <c r="BT137" i="2"/>
  <c r="BT139" i="2"/>
  <c r="BT141" i="2"/>
  <c r="BT143" i="2"/>
  <c r="BT145" i="2"/>
  <c r="BT147" i="2"/>
  <c r="BT149" i="2"/>
  <c r="BT151" i="2"/>
  <c r="BT153" i="2"/>
  <c r="BT155" i="2"/>
  <c r="BS137" i="2"/>
  <c r="BS139" i="2"/>
  <c r="BS141" i="2"/>
  <c r="BS143" i="2"/>
  <c r="BS145" i="2"/>
  <c r="BS147" i="2"/>
  <c r="BS149" i="2"/>
  <c r="BS151" i="2"/>
  <c r="BS153" i="2"/>
  <c r="BS155" i="2"/>
  <c r="BS156" i="2"/>
  <c r="BS138" i="2"/>
  <c r="BS140" i="2"/>
  <c r="BS142" i="2"/>
  <c r="BS144" i="2"/>
  <c r="BS146" i="2"/>
  <c r="BS148" i="2"/>
  <c r="BS150" i="2"/>
  <c r="BS152" i="2"/>
  <c r="BS154" i="2"/>
  <c r="BS136" i="2"/>
  <c r="AC153" i="2"/>
  <c r="AC138" i="2"/>
  <c r="AD144" i="2"/>
  <c r="AD137" i="2"/>
  <c r="AD138" i="2"/>
  <c r="AB155" i="2"/>
  <c r="AB151" i="2"/>
  <c r="AB147" i="2"/>
  <c r="AB143" i="2"/>
  <c r="AB139" i="2"/>
  <c r="AB154" i="2"/>
  <c r="AB150" i="2"/>
  <c r="AB146" i="2"/>
  <c r="AB142" i="2"/>
  <c r="AB138" i="2"/>
  <c r="C167" i="7"/>
  <c r="B177" i="7"/>
  <c r="D130" i="7"/>
  <c r="D128" i="7"/>
  <c r="D52" i="7"/>
  <c r="D3" i="7"/>
  <c r="AB140" i="2" l="1"/>
  <c r="AB144" i="2"/>
  <c r="AB148" i="2"/>
  <c r="AB152" i="2"/>
  <c r="AB156" i="2"/>
  <c r="AB141" i="2"/>
  <c r="AB145" i="2"/>
  <c r="AB149" i="2"/>
  <c r="AB153" i="2"/>
  <c r="AB137" i="2"/>
  <c r="AD151" i="2"/>
  <c r="AD150" i="2"/>
  <c r="AC143" i="2"/>
  <c r="AC154" i="2"/>
  <c r="AC148" i="2"/>
  <c r="AD141" i="2"/>
  <c r="AD154" i="2"/>
  <c r="AD148" i="2"/>
  <c r="AD153" i="2"/>
  <c r="AD147" i="2"/>
  <c r="AD136" i="2"/>
  <c r="AC151" i="2"/>
  <c r="AC146" i="2"/>
  <c r="AC145" i="2"/>
  <c r="AC140" i="2"/>
  <c r="AC156" i="2"/>
  <c r="AD149" i="2"/>
  <c r="AD146" i="2"/>
  <c r="AD143" i="2"/>
  <c r="AD140" i="2"/>
  <c r="AD156" i="2"/>
  <c r="AD145" i="2"/>
  <c r="AD142" i="2"/>
  <c r="AD139" i="2"/>
  <c r="AD155" i="2"/>
  <c r="AD152" i="2"/>
  <c r="AC139" i="2"/>
  <c r="AC147" i="2"/>
  <c r="AC155" i="2"/>
  <c r="AC142" i="2"/>
  <c r="AC150" i="2"/>
  <c r="AC141" i="2"/>
  <c r="AC149" i="2"/>
  <c r="AC137" i="2"/>
  <c r="AC144" i="2"/>
  <c r="AC152" i="2"/>
  <c r="AC136" i="2"/>
  <c r="B40" i="7"/>
  <c r="D19" i="7"/>
  <c r="C19" i="7"/>
  <c r="E20" i="7" l="1"/>
  <c r="D20" i="7"/>
  <c r="C21" i="7" s="1"/>
  <c r="F21" i="7" l="1"/>
  <c r="G22" i="7" l="1"/>
  <c r="H22" i="7"/>
  <c r="F22" i="7"/>
  <c r="E23" i="7" s="1"/>
  <c r="I23" i="7" l="1"/>
  <c r="D24" i="7"/>
  <c r="E24" i="7"/>
  <c r="F25" i="7" s="1"/>
  <c r="C25" i="7" l="1"/>
  <c r="I24" i="7"/>
  <c r="H25" i="7" s="1"/>
  <c r="G26" i="7" s="1"/>
  <c r="J24" i="7"/>
  <c r="K24" i="7"/>
  <c r="F26" i="7" l="1"/>
  <c r="E27" i="7" s="1"/>
  <c r="H26" i="7"/>
  <c r="I27" i="7" s="1"/>
  <c r="L25" i="7"/>
  <c r="L26" i="7" l="1"/>
  <c r="K27" i="7" s="1"/>
  <c r="M26" i="7"/>
  <c r="E28" i="7"/>
  <c r="F29" i="7" s="1"/>
  <c r="D28" i="7"/>
  <c r="C29" i="7" l="1"/>
  <c r="C35" i="7" s="1"/>
  <c r="N27" i="7"/>
  <c r="I28" i="7"/>
  <c r="K28" i="7"/>
  <c r="L29" i="7" s="1"/>
  <c r="J28" i="7"/>
  <c r="H29" i="7" l="1"/>
  <c r="M30" i="7"/>
  <c r="L30" i="7"/>
  <c r="K31" i="7" s="1"/>
  <c r="C107" i="7"/>
  <c r="L35" i="7" l="1"/>
  <c r="L107" i="7" s="1"/>
  <c r="G30" i="7"/>
  <c r="G35" i="7" s="1"/>
  <c r="F30" i="7"/>
  <c r="H30" i="7"/>
  <c r="I31" i="7" s="1"/>
  <c r="N31" i="7"/>
  <c r="N35" i="7" s="1"/>
  <c r="N107" i="7" s="1"/>
  <c r="M35" i="7"/>
  <c r="H35" i="7" l="1"/>
  <c r="H107" i="7" s="1"/>
  <c r="E31" i="7"/>
  <c r="F35" i="7"/>
  <c r="F107" i="7" s="1"/>
  <c r="M107" i="7"/>
  <c r="K32" i="7"/>
  <c r="K35" i="7" s="1"/>
  <c r="J32" i="7"/>
  <c r="J35" i="7" s="1"/>
  <c r="I32" i="7"/>
  <c r="I35" i="7" s="1"/>
  <c r="G37" i="7"/>
  <c r="G40" i="7" s="1"/>
  <c r="G107" i="7"/>
  <c r="I107" i="7" l="1"/>
  <c r="H37" i="7"/>
  <c r="I37" i="7"/>
  <c r="K107" i="7"/>
  <c r="K37" i="7"/>
  <c r="L37" i="7"/>
  <c r="M40" i="7" s="1"/>
  <c r="N40" i="7" s="1"/>
  <c r="J107" i="7"/>
  <c r="J37" i="7"/>
  <c r="J40" i="7" s="1"/>
  <c r="D32" i="7"/>
  <c r="D35" i="7" s="1"/>
  <c r="E32" i="7"/>
  <c r="E35" i="7" s="1"/>
  <c r="F37" i="7" l="1"/>
  <c r="E107" i="7"/>
  <c r="E37" i="7"/>
  <c r="C40" i="7" s="1"/>
  <c r="B44" i="7" s="1"/>
  <c r="D107" i="7"/>
  <c r="I109" i="7" l="1"/>
  <c r="O109" i="7"/>
  <c r="L109" i="7"/>
  <c r="P109" i="7"/>
  <c r="F109" i="7"/>
  <c r="D109" i="7"/>
  <c r="C109" i="7"/>
  <c r="N109" i="7"/>
  <c r="J109" i="7"/>
  <c r="J111" i="7" s="1"/>
  <c r="P114" i="7" s="1"/>
  <c r="C205" i="7" s="1"/>
  <c r="K109" i="7"/>
  <c r="H109" i="7"/>
  <c r="E109" i="7"/>
  <c r="G109" i="7"/>
  <c r="G111" i="7" s="1"/>
  <c r="O114" i="7" s="1"/>
  <c r="C203" i="7" s="1"/>
  <c r="M109" i="7"/>
  <c r="O120" i="7" l="1"/>
  <c r="C112" i="1" s="1"/>
  <c r="I111" i="7"/>
  <c r="H111" i="7"/>
  <c r="C204" i="7" s="1"/>
  <c r="F111" i="7"/>
  <c r="E111" i="7"/>
  <c r="K111" i="7"/>
  <c r="L111" i="7"/>
  <c r="M116" i="7" s="1"/>
  <c r="N116" i="7" s="1"/>
  <c r="N124" i="7"/>
  <c r="C118" i="1" s="1"/>
  <c r="P120" i="7"/>
  <c r="C114" i="1" s="1"/>
  <c r="C124" i="7"/>
  <c r="C111" i="1" s="1"/>
  <c r="C114" i="7"/>
  <c r="C202" i="7" l="1"/>
  <c r="C206" i="7"/>
  <c r="N122" i="7"/>
  <c r="C117" i="1" s="1"/>
  <c r="N114" i="7"/>
  <c r="N120" i="7" s="1"/>
  <c r="C116" i="1" s="1"/>
  <c r="O122" i="7"/>
  <c r="C113" i="1" s="1"/>
  <c r="D114" i="7"/>
  <c r="C120" i="7"/>
  <c r="C109" i="1" s="1"/>
  <c r="P122" i="7"/>
  <c r="C115" i="1" s="1"/>
  <c r="D116" i="7"/>
  <c r="C116" i="7"/>
  <c r="C122" i="7" s="1"/>
  <c r="C110" i="1" s="1"/>
  <c r="M114" i="7"/>
  <c r="B130" i="7" l="1"/>
  <c r="C120" i="1" s="1"/>
  <c r="B128" i="7"/>
  <c r="C121" i="1" s="1"/>
  <c r="N128" i="7"/>
  <c r="N130" i="7"/>
  <c r="C122" i="1" s="1"/>
  <c r="C207" i="7" l="1"/>
  <c r="C123" i="1"/>
  <c r="C212" i="7" l="1"/>
  <c r="C215" i="7" s="1"/>
  <c r="C125" i="1" s="1"/>
</calcChain>
</file>

<file path=xl/sharedStrings.xml><?xml version="1.0" encoding="utf-8"?>
<sst xmlns="http://schemas.openxmlformats.org/spreadsheetml/2006/main" count="1489" uniqueCount="202">
  <si>
    <t xml:space="preserve">LW </t>
  </si>
  <si>
    <t>Load Comp.1</t>
  </si>
  <si>
    <t>Load Combination1</t>
  </si>
  <si>
    <t>1.2D+1.0W</t>
  </si>
  <si>
    <t>Wind load (left side)</t>
  </si>
  <si>
    <r>
      <t>M</t>
    </r>
    <r>
      <rPr>
        <sz val="8"/>
        <color theme="1"/>
        <rFont val="Calibri"/>
        <family val="2"/>
        <scheme val="minor"/>
      </rPr>
      <t>A</t>
    </r>
  </si>
  <si>
    <r>
      <t>M</t>
    </r>
    <r>
      <rPr>
        <sz val="8"/>
        <color theme="1"/>
        <rFont val="Calibri"/>
        <family val="2"/>
        <scheme val="minor"/>
      </rPr>
      <t>H</t>
    </r>
  </si>
  <si>
    <t>KN</t>
  </si>
  <si>
    <t>KN.m</t>
  </si>
  <si>
    <t xml:space="preserve"> (KN/m)</t>
  </si>
  <si>
    <t xml:space="preserve">W1 </t>
  </si>
  <si>
    <t xml:space="preserve">W2 </t>
  </si>
  <si>
    <t xml:space="preserve">H1 </t>
  </si>
  <si>
    <t>(m)</t>
  </si>
  <si>
    <t xml:space="preserve">S3 </t>
  </si>
  <si>
    <t xml:space="preserve">S2 </t>
  </si>
  <si>
    <t xml:space="preserve">S1 </t>
  </si>
  <si>
    <t>(KN/m)</t>
  </si>
  <si>
    <t xml:space="preserve">1.2*W2 </t>
  </si>
  <si>
    <t xml:space="preserve">1.2*W1 </t>
  </si>
  <si>
    <r>
      <t>L</t>
    </r>
    <r>
      <rPr>
        <sz val="8"/>
        <color theme="1"/>
        <rFont val="Calibri"/>
        <family val="2"/>
        <scheme val="minor"/>
      </rPr>
      <t xml:space="preserve"> AB</t>
    </r>
  </si>
  <si>
    <r>
      <t>L</t>
    </r>
    <r>
      <rPr>
        <sz val="8"/>
        <color theme="1"/>
        <rFont val="Calibri"/>
        <family val="2"/>
        <scheme val="minor"/>
      </rPr>
      <t xml:space="preserve"> BC</t>
    </r>
  </si>
  <si>
    <r>
      <t>L</t>
    </r>
    <r>
      <rPr>
        <sz val="8"/>
        <color theme="1"/>
        <rFont val="Calibri"/>
        <family val="2"/>
        <scheme val="minor"/>
      </rPr>
      <t xml:space="preserve"> CD</t>
    </r>
  </si>
  <si>
    <r>
      <t>L</t>
    </r>
    <r>
      <rPr>
        <sz val="8"/>
        <color theme="1"/>
        <rFont val="Calibri"/>
        <family val="2"/>
        <scheme val="minor"/>
      </rPr>
      <t xml:space="preserve"> CE</t>
    </r>
  </si>
  <si>
    <r>
      <t>L</t>
    </r>
    <r>
      <rPr>
        <sz val="8"/>
        <color theme="1"/>
        <rFont val="Calibri"/>
        <family val="2"/>
        <scheme val="minor"/>
      </rPr>
      <t xml:space="preserve"> EF</t>
    </r>
  </si>
  <si>
    <r>
      <t>L</t>
    </r>
    <r>
      <rPr>
        <sz val="8"/>
        <color theme="1"/>
        <rFont val="Calibri"/>
        <family val="2"/>
        <scheme val="minor"/>
      </rPr>
      <t xml:space="preserve"> EG</t>
    </r>
  </si>
  <si>
    <r>
      <t>L</t>
    </r>
    <r>
      <rPr>
        <sz val="8"/>
        <color theme="1"/>
        <rFont val="Calibri"/>
        <family val="2"/>
        <scheme val="minor"/>
      </rPr>
      <t xml:space="preserve"> GH</t>
    </r>
  </si>
  <si>
    <t>EI</t>
  </si>
  <si>
    <t>JOINT</t>
  </si>
  <si>
    <t>A</t>
  </si>
  <si>
    <t>B</t>
  </si>
  <si>
    <t>C</t>
  </si>
  <si>
    <t>D</t>
  </si>
  <si>
    <t>E</t>
  </si>
  <si>
    <t>F</t>
  </si>
  <si>
    <t>G</t>
  </si>
  <si>
    <t>H</t>
  </si>
  <si>
    <t>STAGE 1</t>
  </si>
  <si>
    <t>FEM</t>
  </si>
  <si>
    <t>MEMBER</t>
  </si>
  <si>
    <t>DF</t>
  </si>
  <si>
    <t>DIST.</t>
  </si>
  <si>
    <t>CO</t>
  </si>
  <si>
    <t>AB</t>
  </si>
  <si>
    <t>BA</t>
  </si>
  <si>
    <t>BC</t>
  </si>
  <si>
    <t>CB</t>
  </si>
  <si>
    <t>CD</t>
  </si>
  <si>
    <t>CE</t>
  </si>
  <si>
    <t>EC</t>
  </si>
  <si>
    <t>EF</t>
  </si>
  <si>
    <t>EG</t>
  </si>
  <si>
    <t>GE</t>
  </si>
  <si>
    <t>GH</t>
  </si>
  <si>
    <t>HG</t>
  </si>
  <si>
    <t>DC</t>
  </si>
  <si>
    <t>FE</t>
  </si>
  <si>
    <t>K</t>
  </si>
  <si>
    <t>FEV</t>
  </si>
  <si>
    <r>
      <t>∑M</t>
    </r>
    <r>
      <rPr>
        <sz val="8"/>
        <color theme="1"/>
        <rFont val="Calibri"/>
        <family val="2"/>
      </rPr>
      <t xml:space="preserve">G </t>
    </r>
    <r>
      <rPr>
        <sz val="11"/>
        <color theme="1"/>
        <rFont val="Calibri"/>
        <family val="2"/>
      </rPr>
      <t>=</t>
    </r>
  </si>
  <si>
    <t>Ax</t>
  </si>
  <si>
    <t>Hx</t>
  </si>
  <si>
    <t>GH y</t>
  </si>
  <si>
    <t>Dx</t>
  </si>
  <si>
    <t>Fx</t>
  </si>
  <si>
    <t>LW (x-direction)</t>
  </si>
  <si>
    <t>STAGE 2</t>
  </si>
  <si>
    <t>→+</t>
  </si>
  <si>
    <t>∆MEMBER/∆(DRIFT)</t>
  </si>
  <si>
    <r>
      <t>FEM/</t>
    </r>
    <r>
      <rPr>
        <sz val="11"/>
        <color theme="1"/>
        <rFont val="Calibri"/>
        <family val="2"/>
      </rPr>
      <t>∆</t>
    </r>
  </si>
  <si>
    <t>FEM (ASSUMED)</t>
  </si>
  <si>
    <t>←</t>
  </si>
  <si>
    <t>REAL SYSTEM</t>
  </si>
  <si>
    <t>M (KN.m)</t>
  </si>
  <si>
    <t>M1 (KN.m)</t>
  </si>
  <si>
    <t>M2 (KN.m)</t>
  </si>
  <si>
    <t>R2</t>
  </si>
  <si>
    <t>R1</t>
  </si>
  <si>
    <t>Ay</t>
  </si>
  <si>
    <t>Dy</t>
  </si>
  <si>
    <t>Fy</t>
  </si>
  <si>
    <t>Hy</t>
  </si>
  <si>
    <t>C.C.W+</t>
  </si>
  <si>
    <r>
      <t>F</t>
    </r>
    <r>
      <rPr>
        <sz val="8"/>
        <color theme="1"/>
        <rFont val="Calibri"/>
        <family val="2"/>
        <scheme val="minor"/>
      </rPr>
      <t>V,GH</t>
    </r>
  </si>
  <si>
    <r>
      <t>F</t>
    </r>
    <r>
      <rPr>
        <sz val="8"/>
        <color theme="1"/>
        <rFont val="Calibri"/>
        <family val="2"/>
        <scheme val="minor"/>
      </rPr>
      <t>H,BA</t>
    </r>
  </si>
  <si>
    <r>
      <t>F</t>
    </r>
    <r>
      <rPr>
        <sz val="8"/>
        <color theme="1"/>
        <rFont val="Calibri"/>
        <family val="2"/>
        <scheme val="minor"/>
      </rPr>
      <t>H,GH</t>
    </r>
  </si>
  <si>
    <r>
      <t>F</t>
    </r>
    <r>
      <rPr>
        <sz val="8"/>
        <color theme="1"/>
        <rFont val="Calibri"/>
        <family val="2"/>
        <scheme val="minor"/>
      </rPr>
      <t>V,BA</t>
    </r>
  </si>
  <si>
    <t>X</t>
  </si>
  <si>
    <t xml:space="preserve">1.2W2 </t>
  </si>
  <si>
    <t xml:space="preserve">1.2W1 </t>
  </si>
  <si>
    <t>M1</t>
  </si>
  <si>
    <t>V1</t>
  </si>
  <si>
    <t>M2</t>
  </si>
  <si>
    <t>V2</t>
  </si>
  <si>
    <t>Ay'</t>
  </si>
  <si>
    <t>Ax'</t>
  </si>
  <si>
    <t>LW,y'</t>
  </si>
  <si>
    <t>LW,x'</t>
  </si>
  <si>
    <t>Hy'</t>
  </si>
  <si>
    <t>Hx'</t>
  </si>
  <si>
    <t>N=Ax'-X*LW,x'</t>
  </si>
  <si>
    <t>V=Ay'-X*LW,y'</t>
  </si>
  <si>
    <t>M= X*Ay'+Mab-(0.5*LW,y'*X^2)</t>
  </si>
  <si>
    <t>N=Ax-H1*LW</t>
  </si>
  <si>
    <t>V=Vbc-(X*1.2W2)</t>
  </si>
  <si>
    <t>M=Mbc+X*Vbc-(0.5X^2)1.2W2</t>
  </si>
  <si>
    <t>N=-Dy</t>
  </si>
  <si>
    <t>V=Dx</t>
  </si>
  <si>
    <t>n</t>
  </si>
  <si>
    <t>N=Dx+Ax-(H1*LW)</t>
  </si>
  <si>
    <t>V=Vce-1.2W2*X</t>
  </si>
  <si>
    <t>M=-0.5X^2(1.2W2)+Vce+Mce</t>
  </si>
  <si>
    <t>N=-Fy</t>
  </si>
  <si>
    <t>V=Fx</t>
  </si>
  <si>
    <t>M=X*Dx</t>
  </si>
  <si>
    <t>M=X*Fx</t>
  </si>
  <si>
    <t>N=Ax+Dx+Fx-H1*LW</t>
  </si>
  <si>
    <t>V=Veg-(X*1.2W2)</t>
  </si>
  <si>
    <t>M=Meg+X*Veg-(0.5X^2)1.2W2</t>
  </si>
  <si>
    <t>L_GH-X</t>
  </si>
  <si>
    <t>N=Hx'</t>
  </si>
  <si>
    <t>V=Hy'</t>
  </si>
  <si>
    <t>M=-Hy'(X)-Mhg</t>
  </si>
  <si>
    <t>ABS,FEM/∆</t>
  </si>
  <si>
    <t>C.W</t>
  </si>
  <si>
    <t>C.C.W</t>
  </si>
  <si>
    <t>Load Comp.2</t>
  </si>
  <si>
    <t>Wind load (Right side)</t>
  </si>
  <si>
    <t>N=Ax'</t>
  </si>
  <si>
    <t>V=Ay'</t>
  </si>
  <si>
    <t>M= X*Ay'+Mab</t>
  </si>
  <si>
    <t>N=Ax</t>
  </si>
  <si>
    <t>N=Dx+Ax</t>
  </si>
  <si>
    <t>M=-0.5X^2(1.2W2)+Vce*X+Mce</t>
  </si>
  <si>
    <t>N=Ax+Dx+Fx</t>
  </si>
  <si>
    <t>I</t>
  </si>
  <si>
    <t>J</t>
  </si>
  <si>
    <t>N=Hx'-LWx(X)</t>
  </si>
  <si>
    <t>V=Hy'+LW,y(X)</t>
  </si>
  <si>
    <t>M=-Hy'(X)-Mhg-(0.5LW,y*X^2)</t>
  </si>
  <si>
    <t>GI</t>
  </si>
  <si>
    <t>N=-1.2W1*2</t>
  </si>
  <si>
    <t>V=0</t>
  </si>
  <si>
    <t>M=-1.2W1*(1)*(2)</t>
  </si>
  <si>
    <t>N=0</t>
  </si>
  <si>
    <t>JI</t>
  </si>
  <si>
    <t>M=-1.2W1*X^2/2</t>
  </si>
  <si>
    <t>V=-1.2W1(2)X</t>
  </si>
  <si>
    <t>VIRTUAL SYSTEM</t>
  </si>
  <si>
    <t>M= M2/R'</t>
  </si>
  <si>
    <t>∫ (M*m),dx</t>
  </si>
  <si>
    <t>IJ</t>
  </si>
  <si>
    <t>∆=</t>
  </si>
  <si>
    <t>∫ (M*m),dx/EI</t>
  </si>
  <si>
    <t>(KN,m)</t>
  </si>
  <si>
    <t>KN.m^2</t>
  </si>
  <si>
    <t>mm</t>
  </si>
  <si>
    <t>←+</t>
  </si>
  <si>
    <t>← (+)</t>
  </si>
  <si>
    <t>→ +</t>
  </si>
  <si>
    <t>Local Axis :</t>
  </si>
  <si>
    <t>Ax' =</t>
  </si>
  <si>
    <t>Ay' =</t>
  </si>
  <si>
    <t>Hx' =</t>
  </si>
  <si>
    <t>Hy' =</t>
  </si>
  <si>
    <t>Load Combination2</t>
  </si>
  <si>
    <t>Load Combination3</t>
  </si>
  <si>
    <t>1.0D+1.0W</t>
  </si>
  <si>
    <t>Horizontal Drift =</t>
  </si>
  <si>
    <t>Load Combination4</t>
  </si>
  <si>
    <t>KN/m^2</t>
  </si>
  <si>
    <t>m^4</t>
  </si>
  <si>
    <t>Ax =</t>
  </si>
  <si>
    <t>Ay =</t>
  </si>
  <si>
    <t>MA =</t>
  </si>
  <si>
    <t>Dx =</t>
  </si>
  <si>
    <t>Dy =</t>
  </si>
  <si>
    <t>Fx =</t>
  </si>
  <si>
    <t>Fy =</t>
  </si>
  <si>
    <t>Hx =</t>
  </si>
  <si>
    <t>Hy =</t>
  </si>
  <si>
    <t>MH =</t>
  </si>
  <si>
    <t>L AB</t>
  </si>
  <si>
    <t>L BC</t>
  </si>
  <si>
    <t>L CD</t>
  </si>
  <si>
    <t>L CE</t>
  </si>
  <si>
    <t>L EF</t>
  </si>
  <si>
    <t>L EG</t>
  </si>
  <si>
    <t>L GH</t>
  </si>
  <si>
    <t>∑MG =</t>
  </si>
  <si>
    <t>FEM/∆</t>
  </si>
  <si>
    <t>C.W +</t>
  </si>
  <si>
    <r>
      <rPr>
        <sz val="11"/>
        <color theme="1"/>
        <rFont val="Calibri"/>
        <family val="2"/>
      </rPr>
      <t>→</t>
    </r>
    <r>
      <rPr>
        <sz val="7.05"/>
        <color theme="1"/>
        <rFont val="Calibri"/>
        <family val="2"/>
      </rPr>
      <t xml:space="preserve"> +</t>
    </r>
  </si>
  <si>
    <t>FH,BA</t>
  </si>
  <si>
    <t>FV,BA</t>
  </si>
  <si>
    <t>FH,GH</t>
  </si>
  <si>
    <t>FV,GH</t>
  </si>
  <si>
    <t>MA</t>
  </si>
  <si>
    <t>MH</t>
  </si>
  <si>
    <t>C.W+</t>
  </si>
  <si>
    <r>
      <rPr>
        <sz val="11"/>
        <color theme="1"/>
        <rFont val="Calibri"/>
        <family val="2"/>
      </rPr>
      <t>→</t>
    </r>
    <r>
      <rPr>
        <sz val="8.25"/>
        <color theme="1"/>
        <rFont val="Calibri"/>
        <family val="2"/>
      </rPr>
      <t>+</t>
    </r>
  </si>
  <si>
    <t>M=-1.2W1*X^2/2+1.2W1(2X)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</si>
</sst>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7.05"/>
      <color theme="1"/>
      <name val="Calibri"/>
      <family val="2"/>
    </font>
    <font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4" fillId="2" borderId="1" applyNumberFormat="0" applyAlignment="0" applyProtection="0"/>
    <xf numFmtId="0" fontId="5" fillId="3" borderId="2" applyNumberFormat="0" applyAlignment="0" applyProtection="0"/>
    <xf numFmtId="0" fontId="6" fillId="2" borderId="3" applyNumberFormat="0" applyAlignment="0" applyProtection="0"/>
    <xf numFmtId="0" fontId="7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3" borderId="2" xfId="2" applyAlignment="1">
      <alignment horizontal="center"/>
    </xf>
    <xf numFmtId="0" fontId="4" fillId="2" borderId="1" xfId="1" applyAlignment="1">
      <alignment horizontal="center"/>
    </xf>
    <xf numFmtId="0" fontId="4" fillId="2" borderId="1" xfId="1"/>
    <xf numFmtId="0" fontId="7" fillId="0" borderId="0" xfId="4" applyAlignment="1">
      <alignment horizontal="center"/>
    </xf>
    <xf numFmtId="0" fontId="6" fillId="2" borderId="3" xfId="3" applyAlignment="1">
      <alignment horizontal="center"/>
    </xf>
    <xf numFmtId="0" fontId="6" fillId="2" borderId="3" xfId="3"/>
    <xf numFmtId="0" fontId="5" fillId="3" borderId="2" xfId="2"/>
  </cellXfs>
  <cellStyles count="5">
    <cellStyle name="Calculation" xfId="3" builtinId="22"/>
    <cellStyle name="Check Cell" xfId="2" builtinId="23"/>
    <cellStyle name="Normal" xfId="0" builtinId="0"/>
    <cellStyle name="Output" xfId="1" builtinId="21"/>
    <cellStyle name="Warning Text" xfId="4" builtin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Axial Diagram AB</c:v>
          </c:tx>
          <c:xVal>
            <c:numRef>
              <c:f>L.C1!$AA$136:$AA$156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L.C1!$AB$136:$AB$156</c:f>
              <c:numCache>
                <c:formatCode>General</c:formatCode>
                <c:ptCount val="21"/>
                <c:pt idx="0">
                  <c:v>-18.658140102818784</c:v>
                </c:pt>
                <c:pt idx="1">
                  <c:v>-19.618140102818785</c:v>
                </c:pt>
                <c:pt idx="2">
                  <c:v>-20.578140102818786</c:v>
                </c:pt>
                <c:pt idx="3">
                  <c:v>-21.538140102818783</c:v>
                </c:pt>
                <c:pt idx="4">
                  <c:v>-22.498140102818784</c:v>
                </c:pt>
                <c:pt idx="5">
                  <c:v>-23.458140102818785</c:v>
                </c:pt>
                <c:pt idx="6">
                  <c:v>-24.418140102818782</c:v>
                </c:pt>
                <c:pt idx="7">
                  <c:v>-25.378140102818783</c:v>
                </c:pt>
                <c:pt idx="8">
                  <c:v>-26.338140102818784</c:v>
                </c:pt>
                <c:pt idx="9">
                  <c:v>-27.298140102818785</c:v>
                </c:pt>
                <c:pt idx="10">
                  <c:v>-28.258140102818786</c:v>
                </c:pt>
                <c:pt idx="11">
                  <c:v>-29.218140102818783</c:v>
                </c:pt>
                <c:pt idx="12">
                  <c:v>-30.178140102818784</c:v>
                </c:pt>
                <c:pt idx="13">
                  <c:v>-31.138140102818785</c:v>
                </c:pt>
                <c:pt idx="14">
                  <c:v>-32.098140102818782</c:v>
                </c:pt>
                <c:pt idx="15">
                  <c:v>-33.058140102818783</c:v>
                </c:pt>
                <c:pt idx="16">
                  <c:v>-34.018140102818784</c:v>
                </c:pt>
                <c:pt idx="17">
                  <c:v>-34.978140102818784</c:v>
                </c:pt>
                <c:pt idx="18">
                  <c:v>-35.938140102818785</c:v>
                </c:pt>
                <c:pt idx="19">
                  <c:v>-36.898140102818786</c:v>
                </c:pt>
                <c:pt idx="20">
                  <c:v>-37.85814010281878</c:v>
                </c:pt>
              </c:numCache>
            </c:numRef>
          </c:yVal>
          <c:smooth val="1"/>
        </c:ser>
        <c:ser>
          <c:idx val="1"/>
          <c:order val="1"/>
          <c:tx>
            <c:v>Shear Diagram AB</c:v>
          </c:tx>
          <c:xVal>
            <c:numRef>
              <c:f>L.C1!$AA$136:$AA$156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L.C1!$AC$136:$AC$156</c:f>
              <c:numCache>
                <c:formatCode>General</c:formatCode>
                <c:ptCount val="21"/>
                <c:pt idx="0">
                  <c:v>12.08078092416776</c:v>
                </c:pt>
                <c:pt idx="1">
                  <c:v>10.800780924167761</c:v>
                </c:pt>
                <c:pt idx="2">
                  <c:v>9.5207809241677595</c:v>
                </c:pt>
                <c:pt idx="3">
                  <c:v>8.2407809241677601</c:v>
                </c:pt>
                <c:pt idx="4">
                  <c:v>6.9607809241677598</c:v>
                </c:pt>
                <c:pt idx="5">
                  <c:v>5.6807809241677596</c:v>
                </c:pt>
                <c:pt idx="6">
                  <c:v>4.4007809241677602</c:v>
                </c:pt>
                <c:pt idx="7">
                  <c:v>3.1207809241677591</c:v>
                </c:pt>
                <c:pt idx="8">
                  <c:v>1.8407809241677597</c:v>
                </c:pt>
                <c:pt idx="9">
                  <c:v>0.56078092416776038</c:v>
                </c:pt>
                <c:pt idx="10">
                  <c:v>-0.71921907583224076</c:v>
                </c:pt>
                <c:pt idx="11">
                  <c:v>-1.9992190758322401</c:v>
                </c:pt>
                <c:pt idx="12">
                  <c:v>-3.2792190758322395</c:v>
                </c:pt>
                <c:pt idx="13">
                  <c:v>-4.5592190758322406</c:v>
                </c:pt>
                <c:pt idx="14">
                  <c:v>-5.8392190758322418</c:v>
                </c:pt>
                <c:pt idx="15">
                  <c:v>-7.1192190758322393</c:v>
                </c:pt>
                <c:pt idx="16">
                  <c:v>-8.3992190758322405</c:v>
                </c:pt>
                <c:pt idx="17">
                  <c:v>-9.6792190758322416</c:v>
                </c:pt>
                <c:pt idx="18">
                  <c:v>-10.959219075832239</c:v>
                </c:pt>
                <c:pt idx="19">
                  <c:v>-12.23921907583224</c:v>
                </c:pt>
                <c:pt idx="20">
                  <c:v>-13.519219075832241</c:v>
                </c:pt>
              </c:numCache>
            </c:numRef>
          </c:yVal>
          <c:smooth val="1"/>
        </c:ser>
        <c:ser>
          <c:idx val="2"/>
          <c:order val="2"/>
          <c:tx>
            <c:v>Bending Moment AB</c:v>
          </c:tx>
          <c:xVal>
            <c:numRef>
              <c:f>L.C1!$AA$136:$AA$156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L.C1!$AD$136:$AD$156</c:f>
              <c:numCache>
                <c:formatCode>General</c:formatCode>
                <c:ptCount val="21"/>
                <c:pt idx="0">
                  <c:v>-9.2435640540491857</c:v>
                </c:pt>
                <c:pt idx="1">
                  <c:v>-6.3833688230072454</c:v>
                </c:pt>
                <c:pt idx="2">
                  <c:v>-3.8431735919653058</c:v>
                </c:pt>
                <c:pt idx="3">
                  <c:v>-1.6229783609233661</c:v>
                </c:pt>
                <c:pt idx="4">
                  <c:v>0.27721687011857421</c:v>
                </c:pt>
                <c:pt idx="5">
                  <c:v>1.8574121011605147</c:v>
                </c:pt>
                <c:pt idx="6">
                  <c:v>3.1176073322024536</c:v>
                </c:pt>
                <c:pt idx="7">
                  <c:v>4.0578025632443957</c:v>
                </c:pt>
                <c:pt idx="8">
                  <c:v>4.677997794286334</c:v>
                </c:pt>
                <c:pt idx="9">
                  <c:v>4.9781930253282738</c:v>
                </c:pt>
                <c:pt idx="10">
                  <c:v>4.9583882563702133</c:v>
                </c:pt>
                <c:pt idx="11">
                  <c:v>4.6185834874121525</c:v>
                </c:pt>
                <c:pt idx="12">
                  <c:v>3.9587787184540915</c:v>
                </c:pt>
                <c:pt idx="13">
                  <c:v>2.9789739494960301</c:v>
                </c:pt>
                <c:pt idx="14">
                  <c:v>1.6791691805379756</c:v>
                </c:pt>
                <c:pt idx="15">
                  <c:v>5.9364411579913678E-2</c:v>
                </c:pt>
                <c:pt idx="16">
                  <c:v>-1.8804403573781485</c:v>
                </c:pt>
                <c:pt idx="17">
                  <c:v>-4.140245126336211</c:v>
                </c:pt>
                <c:pt idx="18">
                  <c:v>-6.7200498952942738</c:v>
                </c:pt>
                <c:pt idx="19">
                  <c:v>-9.6198546642523226</c:v>
                </c:pt>
                <c:pt idx="20">
                  <c:v>-12.839659433210386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57344"/>
        <c:axId val="140858880"/>
      </c:scatterChart>
      <c:valAx>
        <c:axId val="1408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858880"/>
        <c:crosses val="autoZero"/>
        <c:crossBetween val="midCat"/>
      </c:valAx>
      <c:valAx>
        <c:axId val="14085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8573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Axial</a:t>
            </a:r>
            <a:r>
              <a:rPr lang="en-US" baseline="0"/>
              <a:t> Diagram </a:t>
            </a:r>
            <a:r>
              <a:rPr lang="en-US"/>
              <a:t> GH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N GH</c:v>
          </c:tx>
          <c:xVal>
            <c:numRef>
              <c:f>L.C1!$BP$136:$BP$156</c:f>
              <c:numCache>
                <c:formatCode>General</c:formatCode>
                <c:ptCount val="21"/>
                <c:pt idx="0">
                  <c:v>5.6568542494923806</c:v>
                </c:pt>
                <c:pt idx="1">
                  <c:v>5.3740115370177612</c:v>
                </c:pt>
                <c:pt idx="2">
                  <c:v>5.0911688245431428</c:v>
                </c:pt>
                <c:pt idx="3">
                  <c:v>4.8083261120685235</c:v>
                </c:pt>
                <c:pt idx="4">
                  <c:v>4.5254833995939041</c:v>
                </c:pt>
                <c:pt idx="5">
                  <c:v>4.2426406871192857</c:v>
                </c:pt>
                <c:pt idx="6">
                  <c:v>3.9597979746446663</c:v>
                </c:pt>
                <c:pt idx="7">
                  <c:v>3.6769552621700474</c:v>
                </c:pt>
                <c:pt idx="8">
                  <c:v>3.3941125496954285</c:v>
                </c:pt>
                <c:pt idx="9">
                  <c:v>3.1112698372208092</c:v>
                </c:pt>
                <c:pt idx="10">
                  <c:v>2.8284271247461903</c:v>
                </c:pt>
                <c:pt idx="11">
                  <c:v>2.5455844122715714</c:v>
                </c:pt>
                <c:pt idx="12">
                  <c:v>2.2627416997969521</c:v>
                </c:pt>
                <c:pt idx="13">
                  <c:v>1.9798989873223327</c:v>
                </c:pt>
                <c:pt idx="14">
                  <c:v>1.6970562748477143</c:v>
                </c:pt>
                <c:pt idx="15">
                  <c:v>1.4142135623730949</c:v>
                </c:pt>
                <c:pt idx="16">
                  <c:v>1.1313708498984765</c:v>
                </c:pt>
                <c:pt idx="17">
                  <c:v>0.84852813742385713</c:v>
                </c:pt>
                <c:pt idx="18">
                  <c:v>0.56568542494923779</c:v>
                </c:pt>
                <c:pt idx="19">
                  <c:v>0.28284271247461934</c:v>
                </c:pt>
                <c:pt idx="20">
                  <c:v>0</c:v>
                </c:pt>
              </c:numCache>
            </c:numRef>
          </c:xVal>
          <c:yVal>
            <c:numRef>
              <c:f>L.C1!$BS$136:$BS$156</c:f>
              <c:numCache>
                <c:formatCode>General</c:formatCode>
                <c:ptCount val="21"/>
                <c:pt idx="0">
                  <c:v>-47.741519233052877</c:v>
                </c:pt>
                <c:pt idx="1">
                  <c:v>-47.741519233052877</c:v>
                </c:pt>
                <c:pt idx="2">
                  <c:v>-47.741519233052877</c:v>
                </c:pt>
                <c:pt idx="3">
                  <c:v>-47.741519233052877</c:v>
                </c:pt>
                <c:pt idx="4">
                  <c:v>-47.741519233052877</c:v>
                </c:pt>
                <c:pt idx="5">
                  <c:v>-47.741519233052877</c:v>
                </c:pt>
                <c:pt idx="6">
                  <c:v>-47.741519233052877</c:v>
                </c:pt>
                <c:pt idx="7">
                  <c:v>-47.741519233052877</c:v>
                </c:pt>
                <c:pt idx="8">
                  <c:v>-47.741519233052877</c:v>
                </c:pt>
                <c:pt idx="9">
                  <c:v>-47.741519233052877</c:v>
                </c:pt>
                <c:pt idx="10">
                  <c:v>-47.741519233052877</c:v>
                </c:pt>
                <c:pt idx="11">
                  <c:v>-47.741519233052877</c:v>
                </c:pt>
                <c:pt idx="12">
                  <c:v>-47.741519233052877</c:v>
                </c:pt>
                <c:pt idx="13">
                  <c:v>-47.741519233052877</c:v>
                </c:pt>
                <c:pt idx="14">
                  <c:v>-47.741519233052877</c:v>
                </c:pt>
                <c:pt idx="15">
                  <c:v>-47.741519233052877</c:v>
                </c:pt>
                <c:pt idx="16">
                  <c:v>-47.741519233052877</c:v>
                </c:pt>
                <c:pt idx="17">
                  <c:v>-47.741519233052877</c:v>
                </c:pt>
                <c:pt idx="18">
                  <c:v>-47.741519233052877</c:v>
                </c:pt>
                <c:pt idx="19">
                  <c:v>-47.741519233052877</c:v>
                </c:pt>
                <c:pt idx="20">
                  <c:v>-47.741519233052877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15360"/>
        <c:axId val="141034240"/>
      </c:scatterChart>
      <c:valAx>
        <c:axId val="14081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034240"/>
        <c:crosses val="autoZero"/>
        <c:crossBetween val="midCat"/>
      </c:valAx>
      <c:valAx>
        <c:axId val="141034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815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 EF</c:v>
          </c:tx>
          <c:xVal>
            <c:numRef>
              <c:f>L.C1!$BC$136:$BC$156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L.C1!$BD$136:$BD$156</c:f>
              <c:numCache>
                <c:formatCode>General</c:formatCode>
                <c:ptCount val="21"/>
                <c:pt idx="0">
                  <c:v>-56.258930032323832</c:v>
                </c:pt>
                <c:pt idx="1">
                  <c:v>-56.258930032323832</c:v>
                </c:pt>
                <c:pt idx="2">
                  <c:v>-56.258930032323832</c:v>
                </c:pt>
                <c:pt idx="3">
                  <c:v>-56.258930032323832</c:v>
                </c:pt>
                <c:pt idx="4">
                  <c:v>-56.258930032323832</c:v>
                </c:pt>
                <c:pt idx="5">
                  <c:v>-56.258930032323832</c:v>
                </c:pt>
                <c:pt idx="6">
                  <c:v>-56.258930032323832</c:v>
                </c:pt>
                <c:pt idx="7">
                  <c:v>-56.258930032323832</c:v>
                </c:pt>
                <c:pt idx="8">
                  <c:v>-56.258930032323832</c:v>
                </c:pt>
                <c:pt idx="9">
                  <c:v>-56.258930032323832</c:v>
                </c:pt>
                <c:pt idx="10">
                  <c:v>-56.258930032323832</c:v>
                </c:pt>
                <c:pt idx="11">
                  <c:v>-56.258930032323832</c:v>
                </c:pt>
                <c:pt idx="12">
                  <c:v>-56.258930032323832</c:v>
                </c:pt>
                <c:pt idx="13">
                  <c:v>-56.258930032323832</c:v>
                </c:pt>
                <c:pt idx="14">
                  <c:v>-56.258930032323832</c:v>
                </c:pt>
                <c:pt idx="15">
                  <c:v>-56.258930032323832</c:v>
                </c:pt>
                <c:pt idx="16">
                  <c:v>-56.258930032323832</c:v>
                </c:pt>
                <c:pt idx="17">
                  <c:v>-56.258930032323832</c:v>
                </c:pt>
                <c:pt idx="18">
                  <c:v>-56.258930032323832</c:v>
                </c:pt>
                <c:pt idx="19">
                  <c:v>-56.258930032323832</c:v>
                </c:pt>
                <c:pt idx="20">
                  <c:v>-56.258930032323832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54720"/>
        <c:axId val="141056256"/>
      </c:scatterChart>
      <c:valAx>
        <c:axId val="14105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056256"/>
        <c:crosses val="autoZero"/>
        <c:crossBetween val="midCat"/>
      </c:valAx>
      <c:valAx>
        <c:axId val="14105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0547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 CD</c:v>
          </c:tx>
          <c:xVal>
            <c:numRef>
              <c:f>L.C1!$AO$136:$AO$156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L.C1!$AP$136:$AP$156</c:f>
              <c:numCache>
                <c:formatCode>General</c:formatCode>
                <c:ptCount val="21"/>
                <c:pt idx="0">
                  <c:v>-55.805239718342754</c:v>
                </c:pt>
                <c:pt idx="1">
                  <c:v>-55.805239718342754</c:v>
                </c:pt>
                <c:pt idx="2">
                  <c:v>-55.805239718342754</c:v>
                </c:pt>
                <c:pt idx="3">
                  <c:v>-55.805239718342754</c:v>
                </c:pt>
                <c:pt idx="4">
                  <c:v>-55.805239718342754</c:v>
                </c:pt>
                <c:pt idx="5">
                  <c:v>-55.805239718342754</c:v>
                </c:pt>
                <c:pt idx="6">
                  <c:v>-55.805239718342754</c:v>
                </c:pt>
                <c:pt idx="7">
                  <c:v>-55.805239718342754</c:v>
                </c:pt>
                <c:pt idx="8">
                  <c:v>-55.805239718342754</c:v>
                </c:pt>
                <c:pt idx="9">
                  <c:v>-55.805239718342754</c:v>
                </c:pt>
                <c:pt idx="10">
                  <c:v>-55.805239718342754</c:v>
                </c:pt>
                <c:pt idx="11">
                  <c:v>-55.805239718342754</c:v>
                </c:pt>
                <c:pt idx="12">
                  <c:v>-55.805239718342754</c:v>
                </c:pt>
                <c:pt idx="13">
                  <c:v>-55.805239718342754</c:v>
                </c:pt>
                <c:pt idx="14">
                  <c:v>-55.805239718342754</c:v>
                </c:pt>
                <c:pt idx="15">
                  <c:v>-55.805239718342754</c:v>
                </c:pt>
                <c:pt idx="16">
                  <c:v>-55.805239718342754</c:v>
                </c:pt>
                <c:pt idx="17">
                  <c:v>-55.805239718342754</c:v>
                </c:pt>
                <c:pt idx="18">
                  <c:v>-55.805239718342754</c:v>
                </c:pt>
                <c:pt idx="19">
                  <c:v>-55.805239718342754</c:v>
                </c:pt>
                <c:pt idx="20">
                  <c:v>-55.805239718342754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76736"/>
        <c:axId val="141082624"/>
      </c:scatterChart>
      <c:valAx>
        <c:axId val="14107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082624"/>
        <c:crosses val="autoZero"/>
        <c:crossBetween val="midCat"/>
      </c:valAx>
      <c:valAx>
        <c:axId val="14108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076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Axial Diagram AB</c:v>
          </c:tx>
          <c:xVal>
            <c:numRef>
              <c:f>L.C2!$AA$136:$AA$156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L.C2!$AB$136:$AB$156</c:f>
              <c:numCache>
                <c:formatCode>General</c:formatCode>
                <c:ptCount val="21"/>
                <c:pt idx="0">
                  <c:v>-39.71095210918849</c:v>
                </c:pt>
                <c:pt idx="1">
                  <c:v>-39.71095210918849</c:v>
                </c:pt>
                <c:pt idx="2">
                  <c:v>-39.71095210918849</c:v>
                </c:pt>
                <c:pt idx="3">
                  <c:v>-39.71095210918849</c:v>
                </c:pt>
                <c:pt idx="4">
                  <c:v>-39.71095210918849</c:v>
                </c:pt>
                <c:pt idx="5">
                  <c:v>-39.71095210918849</c:v>
                </c:pt>
                <c:pt idx="6">
                  <c:v>-39.71095210918849</c:v>
                </c:pt>
                <c:pt idx="7">
                  <c:v>-39.71095210918849</c:v>
                </c:pt>
                <c:pt idx="8">
                  <c:v>-39.71095210918849</c:v>
                </c:pt>
                <c:pt idx="9">
                  <c:v>-39.71095210918849</c:v>
                </c:pt>
                <c:pt idx="10">
                  <c:v>-39.71095210918849</c:v>
                </c:pt>
                <c:pt idx="11">
                  <c:v>-39.71095210918849</c:v>
                </c:pt>
                <c:pt idx="12">
                  <c:v>-39.71095210918849</c:v>
                </c:pt>
                <c:pt idx="13">
                  <c:v>-39.71095210918849</c:v>
                </c:pt>
                <c:pt idx="14">
                  <c:v>-39.71095210918849</c:v>
                </c:pt>
                <c:pt idx="15">
                  <c:v>-39.71095210918849</c:v>
                </c:pt>
                <c:pt idx="16">
                  <c:v>-39.71095210918849</c:v>
                </c:pt>
                <c:pt idx="17">
                  <c:v>-39.71095210918849</c:v>
                </c:pt>
                <c:pt idx="18">
                  <c:v>-39.71095210918849</c:v>
                </c:pt>
                <c:pt idx="19">
                  <c:v>-39.71095210918849</c:v>
                </c:pt>
                <c:pt idx="20">
                  <c:v>-39.71095210918849</c:v>
                </c:pt>
              </c:numCache>
            </c:numRef>
          </c:yVal>
          <c:smooth val="1"/>
        </c:ser>
        <c:ser>
          <c:idx val="1"/>
          <c:order val="1"/>
          <c:tx>
            <c:v>Shear Diagram AB</c:v>
          </c:tx>
          <c:xVal>
            <c:numRef>
              <c:f>L.C2!$AA$136:$AA$156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L.C2!$AC$136:$AC$156</c:f>
              <c:numCache>
                <c:formatCode>General</c:formatCode>
                <c:ptCount val="21"/>
                <c:pt idx="0">
                  <c:v>-7.9481681329864138</c:v>
                </c:pt>
                <c:pt idx="1">
                  <c:v>-7.9481681329864138</c:v>
                </c:pt>
                <c:pt idx="2">
                  <c:v>-7.9481681329864138</c:v>
                </c:pt>
                <c:pt idx="3">
                  <c:v>-7.9481681329864138</c:v>
                </c:pt>
                <c:pt idx="4">
                  <c:v>-7.9481681329864138</c:v>
                </c:pt>
                <c:pt idx="5">
                  <c:v>-7.9481681329864138</c:v>
                </c:pt>
                <c:pt idx="6">
                  <c:v>-7.9481681329864138</c:v>
                </c:pt>
                <c:pt idx="7">
                  <c:v>-7.9481681329864138</c:v>
                </c:pt>
                <c:pt idx="8">
                  <c:v>-7.9481681329864138</c:v>
                </c:pt>
                <c:pt idx="9">
                  <c:v>-7.9481681329864138</c:v>
                </c:pt>
                <c:pt idx="10">
                  <c:v>-7.9481681329864138</c:v>
                </c:pt>
                <c:pt idx="11">
                  <c:v>-7.9481681329864138</c:v>
                </c:pt>
                <c:pt idx="12">
                  <c:v>-7.9481681329864138</c:v>
                </c:pt>
                <c:pt idx="13">
                  <c:v>-7.9481681329864138</c:v>
                </c:pt>
                <c:pt idx="14">
                  <c:v>-7.9481681329864138</c:v>
                </c:pt>
                <c:pt idx="15">
                  <c:v>-7.9481681329864138</c:v>
                </c:pt>
                <c:pt idx="16">
                  <c:v>-7.9481681329864138</c:v>
                </c:pt>
                <c:pt idx="17">
                  <c:v>-7.9481681329864138</c:v>
                </c:pt>
                <c:pt idx="18">
                  <c:v>-7.9481681329864138</c:v>
                </c:pt>
                <c:pt idx="19">
                  <c:v>-7.9481681329864138</c:v>
                </c:pt>
                <c:pt idx="20">
                  <c:v>-7.9481681329864138</c:v>
                </c:pt>
              </c:numCache>
            </c:numRef>
          </c:yVal>
          <c:smooth val="1"/>
        </c:ser>
        <c:ser>
          <c:idx val="2"/>
          <c:order val="2"/>
          <c:tx>
            <c:v>Bending Moment AB</c:v>
          </c:tx>
          <c:xVal>
            <c:numRef>
              <c:f>L.C2!$AA$136:$AA$156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L.C2!$AD$136:$AD$156</c:f>
              <c:numCache>
                <c:formatCode>General</c:formatCode>
                <c:ptCount val="21"/>
                <c:pt idx="0">
                  <c:v>18.440865681299908</c:v>
                </c:pt>
                <c:pt idx="1">
                  <c:v>16.453823648053305</c:v>
                </c:pt>
                <c:pt idx="2">
                  <c:v>14.466781614806701</c:v>
                </c:pt>
                <c:pt idx="3">
                  <c:v>12.479739581560096</c:v>
                </c:pt>
                <c:pt idx="4">
                  <c:v>10.492697548313494</c:v>
                </c:pt>
                <c:pt idx="5">
                  <c:v>8.5056555150668913</c:v>
                </c:pt>
                <c:pt idx="6">
                  <c:v>6.518613481820287</c:v>
                </c:pt>
                <c:pt idx="7">
                  <c:v>4.5315714485736827</c:v>
                </c:pt>
                <c:pt idx="8">
                  <c:v>2.5445294153270801</c:v>
                </c:pt>
                <c:pt idx="9">
                  <c:v>0.55748738208047754</c:v>
                </c:pt>
                <c:pt idx="10">
                  <c:v>-1.429554651166125</c:v>
                </c:pt>
                <c:pt idx="11">
                  <c:v>-3.4165966844127311</c:v>
                </c:pt>
                <c:pt idx="12">
                  <c:v>-5.4036387176593337</c:v>
                </c:pt>
                <c:pt idx="13">
                  <c:v>-7.3906807509059362</c:v>
                </c:pt>
                <c:pt idx="14">
                  <c:v>-9.3777227841525423</c:v>
                </c:pt>
                <c:pt idx="15">
                  <c:v>-11.364764817399145</c:v>
                </c:pt>
                <c:pt idx="16">
                  <c:v>-13.351806850645747</c:v>
                </c:pt>
                <c:pt idx="17">
                  <c:v>-15.33884888389235</c:v>
                </c:pt>
                <c:pt idx="18">
                  <c:v>-17.325890917138953</c:v>
                </c:pt>
                <c:pt idx="19">
                  <c:v>-19.312932950385555</c:v>
                </c:pt>
                <c:pt idx="20">
                  <c:v>-21.299974983632158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26656"/>
        <c:axId val="141136640"/>
      </c:scatterChart>
      <c:valAx>
        <c:axId val="14112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136640"/>
        <c:crosses val="autoZero"/>
        <c:crossBetween val="midCat"/>
      </c:valAx>
      <c:valAx>
        <c:axId val="14113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266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N BC</c:v>
          </c:tx>
          <c:xVal>
            <c:numRef>
              <c:f>L.C2!$AH$136:$AH$156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L.C2!$AI$136:$AI$156</c:f>
              <c:numCache>
                <c:formatCode>General</c:formatCode>
                <c:ptCount val="21"/>
                <c:pt idx="0">
                  <c:v>-30.185105771902226</c:v>
                </c:pt>
                <c:pt idx="1">
                  <c:v>-30.185105771902226</c:v>
                </c:pt>
                <c:pt idx="2">
                  <c:v>-30.185105771902226</c:v>
                </c:pt>
                <c:pt idx="3">
                  <c:v>-30.185105771902226</c:v>
                </c:pt>
                <c:pt idx="4">
                  <c:v>-30.185105771902226</c:v>
                </c:pt>
                <c:pt idx="5">
                  <c:v>-30.185105771902226</c:v>
                </c:pt>
                <c:pt idx="6">
                  <c:v>-30.185105771902226</c:v>
                </c:pt>
                <c:pt idx="7">
                  <c:v>-30.185105771902226</c:v>
                </c:pt>
                <c:pt idx="8">
                  <c:v>-30.185105771902226</c:v>
                </c:pt>
                <c:pt idx="9">
                  <c:v>-30.185105771902226</c:v>
                </c:pt>
                <c:pt idx="10">
                  <c:v>-30.185105771902226</c:v>
                </c:pt>
                <c:pt idx="11">
                  <c:v>-30.185105771902226</c:v>
                </c:pt>
                <c:pt idx="12">
                  <c:v>-30.185105771902226</c:v>
                </c:pt>
                <c:pt idx="13">
                  <c:v>-30.185105771902226</c:v>
                </c:pt>
                <c:pt idx="14">
                  <c:v>-30.185105771902226</c:v>
                </c:pt>
                <c:pt idx="15">
                  <c:v>-30.185105771902226</c:v>
                </c:pt>
                <c:pt idx="16">
                  <c:v>-30.185105771902226</c:v>
                </c:pt>
                <c:pt idx="17">
                  <c:v>-30.185105771902226</c:v>
                </c:pt>
                <c:pt idx="18">
                  <c:v>-30.185105771902226</c:v>
                </c:pt>
                <c:pt idx="19">
                  <c:v>-30.185105771902226</c:v>
                </c:pt>
                <c:pt idx="20">
                  <c:v>-30.185105771902226</c:v>
                </c:pt>
              </c:numCache>
            </c:numRef>
          </c:yVal>
          <c:smooth val="1"/>
        </c:ser>
        <c:ser>
          <c:idx val="1"/>
          <c:order val="1"/>
          <c:tx>
            <c:v>V BC</c:v>
          </c:tx>
          <c:xVal>
            <c:numRef>
              <c:f>L.C2!$AH$136:$AH$156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L.C2!$AJ$136:$AJ$156</c:f>
              <c:numCache>
                <c:formatCode>General</c:formatCode>
                <c:ptCount val="21"/>
                <c:pt idx="0">
                  <c:v>26.999860807558946</c:v>
                </c:pt>
                <c:pt idx="1">
                  <c:v>24.599860807558947</c:v>
                </c:pt>
                <c:pt idx="2">
                  <c:v>22.199860807558945</c:v>
                </c:pt>
                <c:pt idx="3">
                  <c:v>19.799860807558947</c:v>
                </c:pt>
                <c:pt idx="4">
                  <c:v>17.399860807558944</c:v>
                </c:pt>
                <c:pt idx="5">
                  <c:v>14.999860807558946</c:v>
                </c:pt>
                <c:pt idx="6">
                  <c:v>12.599860807558947</c:v>
                </c:pt>
                <c:pt idx="7">
                  <c:v>10.199860807558949</c:v>
                </c:pt>
                <c:pt idx="8">
                  <c:v>7.7998608075589431</c:v>
                </c:pt>
                <c:pt idx="9">
                  <c:v>5.3998608075589445</c:v>
                </c:pt>
                <c:pt idx="10">
                  <c:v>2.9998608075589459</c:v>
                </c:pt>
                <c:pt idx="11">
                  <c:v>0.59986080755894378</c:v>
                </c:pt>
                <c:pt idx="12">
                  <c:v>-1.8001391924410513</c:v>
                </c:pt>
                <c:pt idx="13">
                  <c:v>-4.2001391924410569</c:v>
                </c:pt>
                <c:pt idx="14">
                  <c:v>-6.6001391924410484</c:v>
                </c:pt>
                <c:pt idx="15">
                  <c:v>-9.0001391924410541</c:v>
                </c:pt>
                <c:pt idx="16">
                  <c:v>-11.40013919244106</c:v>
                </c:pt>
                <c:pt idx="17">
                  <c:v>-13.800139192441051</c:v>
                </c:pt>
                <c:pt idx="18">
                  <c:v>-16.200139192441057</c:v>
                </c:pt>
                <c:pt idx="19">
                  <c:v>-18.600139192441048</c:v>
                </c:pt>
                <c:pt idx="20">
                  <c:v>-21.000139192441054</c:v>
                </c:pt>
              </c:numCache>
            </c:numRef>
          </c:yVal>
          <c:smooth val="1"/>
        </c:ser>
        <c:ser>
          <c:idx val="2"/>
          <c:order val="2"/>
          <c:tx>
            <c:v>M BC</c:v>
          </c:tx>
          <c:xVal>
            <c:numRef>
              <c:f>L.C2!$AH$136:$AH$156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L.C2!$AK$136:$AK$156</c:f>
              <c:numCache>
                <c:formatCode>General</c:formatCode>
                <c:ptCount val="21"/>
                <c:pt idx="0">
                  <c:v>-21.299974983632168</c:v>
                </c:pt>
                <c:pt idx="1">
                  <c:v>-16.140002822120376</c:v>
                </c:pt>
                <c:pt idx="2">
                  <c:v>-11.46003066060859</c:v>
                </c:pt>
                <c:pt idx="3">
                  <c:v>-7.2600584990968002</c:v>
                </c:pt>
                <c:pt idx="4">
                  <c:v>-3.5400863375850102</c:v>
                </c:pt>
                <c:pt idx="5">
                  <c:v>-0.30011417607322244</c:v>
                </c:pt>
                <c:pt idx="6">
                  <c:v>2.4598579854385676</c:v>
                </c:pt>
                <c:pt idx="7">
                  <c:v>4.7398301469503537</c:v>
                </c:pt>
                <c:pt idx="8">
                  <c:v>6.5398023084621464</c:v>
                </c:pt>
                <c:pt idx="9">
                  <c:v>7.8597744699739316</c:v>
                </c:pt>
                <c:pt idx="10">
                  <c:v>8.6997466314857235</c:v>
                </c:pt>
                <c:pt idx="11">
                  <c:v>9.0597187929975078</c:v>
                </c:pt>
                <c:pt idx="12">
                  <c:v>8.9396909545093024</c:v>
                </c:pt>
                <c:pt idx="13">
                  <c:v>8.3396631160210859</c:v>
                </c:pt>
                <c:pt idx="14">
                  <c:v>7.2596352775328796</c:v>
                </c:pt>
                <c:pt idx="15">
                  <c:v>5.6996074390446694</c:v>
                </c:pt>
                <c:pt idx="16">
                  <c:v>3.6595796005564551</c:v>
                </c:pt>
                <c:pt idx="17">
                  <c:v>1.1395517620682654</c:v>
                </c:pt>
                <c:pt idx="18">
                  <c:v>-1.860476076419971</c:v>
                </c:pt>
                <c:pt idx="19">
                  <c:v>-5.340503914908183</c:v>
                </c:pt>
                <c:pt idx="20">
                  <c:v>-9.3005317533963847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62752"/>
        <c:axId val="141299712"/>
      </c:scatterChart>
      <c:valAx>
        <c:axId val="1411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299712"/>
        <c:crosses val="autoZero"/>
        <c:crossBetween val="midCat"/>
      </c:valAx>
      <c:valAx>
        <c:axId val="14129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162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v>V CD</c:v>
          </c:tx>
          <c:xVal>
            <c:numRef>
              <c:f>L.C2!$AO$136:$AO$156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L.C2!$AQ$136:$AQ$156</c:f>
              <c:numCache>
                <c:formatCode>General</c:formatCode>
                <c:ptCount val="21"/>
                <c:pt idx="0">
                  <c:v>-3.2490441700778714</c:v>
                </c:pt>
                <c:pt idx="1">
                  <c:v>-3.2490441700778714</c:v>
                </c:pt>
                <c:pt idx="2">
                  <c:v>-3.2490441700778714</c:v>
                </c:pt>
                <c:pt idx="3">
                  <c:v>-3.2490441700778714</c:v>
                </c:pt>
                <c:pt idx="4">
                  <c:v>-3.2490441700778714</c:v>
                </c:pt>
                <c:pt idx="5">
                  <c:v>-3.2490441700778714</c:v>
                </c:pt>
                <c:pt idx="6">
                  <c:v>-3.2490441700778714</c:v>
                </c:pt>
                <c:pt idx="7">
                  <c:v>-3.2490441700778714</c:v>
                </c:pt>
                <c:pt idx="8">
                  <c:v>-3.2490441700778714</c:v>
                </c:pt>
                <c:pt idx="9">
                  <c:v>-3.2490441700778714</c:v>
                </c:pt>
                <c:pt idx="10">
                  <c:v>-3.2490441700778714</c:v>
                </c:pt>
                <c:pt idx="11">
                  <c:v>-3.2490441700778714</c:v>
                </c:pt>
                <c:pt idx="12">
                  <c:v>-3.2490441700778714</c:v>
                </c:pt>
                <c:pt idx="13">
                  <c:v>-3.2490441700778714</c:v>
                </c:pt>
                <c:pt idx="14">
                  <c:v>-3.2490441700778714</c:v>
                </c:pt>
                <c:pt idx="15">
                  <c:v>-3.2490441700778714</c:v>
                </c:pt>
                <c:pt idx="16">
                  <c:v>-3.2490441700778714</c:v>
                </c:pt>
                <c:pt idx="17">
                  <c:v>-3.2490441700778714</c:v>
                </c:pt>
                <c:pt idx="18">
                  <c:v>-3.2490441700778714</c:v>
                </c:pt>
                <c:pt idx="19">
                  <c:v>-3.2490441700778714</c:v>
                </c:pt>
                <c:pt idx="20">
                  <c:v>-3.2490441700778714</c:v>
                </c:pt>
              </c:numCache>
            </c:numRef>
          </c:yVal>
          <c:smooth val="1"/>
        </c:ser>
        <c:ser>
          <c:idx val="2"/>
          <c:order val="1"/>
          <c:tx>
            <c:v>M CD</c:v>
          </c:tx>
          <c:xVal>
            <c:numRef>
              <c:f>L.C2!$AO$136:$AO$156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L.C2!$AR$136:$AR$156</c:f>
              <c:numCache>
                <c:formatCode>General</c:formatCode>
                <c:ptCount val="21"/>
                <c:pt idx="0">
                  <c:v>0</c:v>
                </c:pt>
                <c:pt idx="1">
                  <c:v>-0.64980883401557432</c:v>
                </c:pt>
                <c:pt idx="2">
                  <c:v>-1.2996176680311486</c:v>
                </c:pt>
                <c:pt idx="3">
                  <c:v>-1.9494265020467227</c:v>
                </c:pt>
                <c:pt idx="4">
                  <c:v>-2.5992353360622973</c:v>
                </c:pt>
                <c:pt idx="5">
                  <c:v>-3.2490441700778714</c:v>
                </c:pt>
                <c:pt idx="6">
                  <c:v>-3.8988530040934455</c:v>
                </c:pt>
                <c:pt idx="7">
                  <c:v>-4.5486618381090196</c:v>
                </c:pt>
                <c:pt idx="8">
                  <c:v>-5.1984706721245946</c:v>
                </c:pt>
                <c:pt idx="9">
                  <c:v>-5.8482795061401687</c:v>
                </c:pt>
                <c:pt idx="10">
                  <c:v>-6.4980883401557428</c:v>
                </c:pt>
                <c:pt idx="11">
                  <c:v>-7.1478971741713178</c:v>
                </c:pt>
                <c:pt idx="12">
                  <c:v>-7.797706008186891</c:v>
                </c:pt>
                <c:pt idx="13">
                  <c:v>-8.447514842202466</c:v>
                </c:pt>
                <c:pt idx="14">
                  <c:v>-9.0973236762180392</c:v>
                </c:pt>
                <c:pt idx="15">
                  <c:v>-9.7471325102336142</c:v>
                </c:pt>
                <c:pt idx="16">
                  <c:v>-10.396941344249189</c:v>
                </c:pt>
                <c:pt idx="17">
                  <c:v>-11.046750178264762</c:v>
                </c:pt>
                <c:pt idx="18">
                  <c:v>-11.696559012280337</c:v>
                </c:pt>
                <c:pt idx="19">
                  <c:v>-12.346367846295911</c:v>
                </c:pt>
                <c:pt idx="20">
                  <c:v>-12.996176680311486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47840"/>
        <c:axId val="141357824"/>
      </c:scatterChart>
      <c:valAx>
        <c:axId val="14134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357824"/>
        <c:crosses val="autoZero"/>
        <c:crossBetween val="midCat"/>
      </c:valAx>
      <c:valAx>
        <c:axId val="14135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3478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N CE</c:v>
          </c:tx>
          <c:xVal>
            <c:numRef>
              <c:f>L.C2!$AV$136:$AV$156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L.C2!$AW$136:$AW$156</c:f>
              <c:numCache>
                <c:formatCode>General</c:formatCode>
                <c:ptCount val="21"/>
                <c:pt idx="0">
                  <c:v>-33.434149941980095</c:v>
                </c:pt>
                <c:pt idx="1">
                  <c:v>-33.434149941980095</c:v>
                </c:pt>
                <c:pt idx="2">
                  <c:v>-33.434149941980095</c:v>
                </c:pt>
                <c:pt idx="3">
                  <c:v>-33.434149941980095</c:v>
                </c:pt>
                <c:pt idx="4">
                  <c:v>-33.434149941980095</c:v>
                </c:pt>
                <c:pt idx="5">
                  <c:v>-33.434149941980095</c:v>
                </c:pt>
                <c:pt idx="6">
                  <c:v>-33.434149941980095</c:v>
                </c:pt>
                <c:pt idx="7">
                  <c:v>-33.434149941980095</c:v>
                </c:pt>
                <c:pt idx="8">
                  <c:v>-33.434149941980095</c:v>
                </c:pt>
                <c:pt idx="9">
                  <c:v>-33.434149941980095</c:v>
                </c:pt>
                <c:pt idx="10">
                  <c:v>-33.434149941980095</c:v>
                </c:pt>
                <c:pt idx="11">
                  <c:v>-33.434149941980095</c:v>
                </c:pt>
                <c:pt idx="12">
                  <c:v>-33.434149941980095</c:v>
                </c:pt>
                <c:pt idx="13">
                  <c:v>-33.434149941980095</c:v>
                </c:pt>
                <c:pt idx="14">
                  <c:v>-33.434149941980095</c:v>
                </c:pt>
                <c:pt idx="15">
                  <c:v>-33.434149941980095</c:v>
                </c:pt>
                <c:pt idx="16">
                  <c:v>-33.434149941980095</c:v>
                </c:pt>
                <c:pt idx="17">
                  <c:v>-33.434149941980095</c:v>
                </c:pt>
                <c:pt idx="18">
                  <c:v>-33.434149941980095</c:v>
                </c:pt>
                <c:pt idx="19">
                  <c:v>-33.434149941980095</c:v>
                </c:pt>
                <c:pt idx="20">
                  <c:v>-33.434149941980095</c:v>
                </c:pt>
              </c:numCache>
            </c:numRef>
          </c:yVal>
          <c:smooth val="1"/>
        </c:ser>
        <c:ser>
          <c:idx val="1"/>
          <c:order val="1"/>
          <c:tx>
            <c:v>V CE</c:v>
          </c:tx>
          <c:xVal>
            <c:numRef>
              <c:f>L.C2!$AV$136:$AV$156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L.C2!$AX$136:$AX$156</c:f>
              <c:numCache>
                <c:formatCode>General</c:formatCode>
                <c:ptCount val="21"/>
                <c:pt idx="0">
                  <c:v>29.419809275339841</c:v>
                </c:pt>
                <c:pt idx="1">
                  <c:v>26.419809275339841</c:v>
                </c:pt>
                <c:pt idx="2">
                  <c:v>23.419809275339841</c:v>
                </c:pt>
                <c:pt idx="3">
                  <c:v>20.419809275339841</c:v>
                </c:pt>
                <c:pt idx="4">
                  <c:v>17.419809275339841</c:v>
                </c:pt>
                <c:pt idx="5">
                  <c:v>14.419809275339841</c:v>
                </c:pt>
                <c:pt idx="6">
                  <c:v>11.419809275339841</c:v>
                </c:pt>
                <c:pt idx="7">
                  <c:v>8.4198092753398406</c:v>
                </c:pt>
                <c:pt idx="8">
                  <c:v>5.4198092753398406</c:v>
                </c:pt>
                <c:pt idx="9">
                  <c:v>2.4198092753398406</c:v>
                </c:pt>
                <c:pt idx="10">
                  <c:v>-0.58019072466015942</c:v>
                </c:pt>
                <c:pt idx="11">
                  <c:v>-3.5801907246601594</c:v>
                </c:pt>
                <c:pt idx="12">
                  <c:v>-6.5801907246601594</c:v>
                </c:pt>
                <c:pt idx="13">
                  <c:v>-9.5801907246601594</c:v>
                </c:pt>
                <c:pt idx="14">
                  <c:v>-12.580190724660159</c:v>
                </c:pt>
                <c:pt idx="15">
                  <c:v>-15.580190724660159</c:v>
                </c:pt>
                <c:pt idx="16">
                  <c:v>-18.580190724660159</c:v>
                </c:pt>
                <c:pt idx="17">
                  <c:v>-21.580190724660159</c:v>
                </c:pt>
                <c:pt idx="18">
                  <c:v>-24.580190724660159</c:v>
                </c:pt>
                <c:pt idx="19">
                  <c:v>-27.580190724660159</c:v>
                </c:pt>
                <c:pt idx="20">
                  <c:v>-30.580190724660159</c:v>
                </c:pt>
              </c:numCache>
            </c:numRef>
          </c:yVal>
          <c:smooth val="1"/>
        </c:ser>
        <c:ser>
          <c:idx val="2"/>
          <c:order val="2"/>
          <c:tx>
            <c:v>M CE</c:v>
          </c:tx>
          <c:xVal>
            <c:numRef>
              <c:f>L.C2!$AV$136:$AV$156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L.C2!$AY$136:$AY$156</c:f>
              <c:numCache>
                <c:formatCode>General</c:formatCode>
                <c:ptCount val="21"/>
                <c:pt idx="0">
                  <c:v>-22.296708433707856</c:v>
                </c:pt>
                <c:pt idx="1">
                  <c:v>-15.316756114872895</c:v>
                </c:pt>
                <c:pt idx="2">
                  <c:v>-9.0868037960379358</c:v>
                </c:pt>
                <c:pt idx="3">
                  <c:v>-3.6068514772029765</c:v>
                </c:pt>
                <c:pt idx="4">
                  <c:v>1.1231008416319845</c:v>
                </c:pt>
                <c:pt idx="5">
                  <c:v>5.103053160466942</c:v>
                </c:pt>
                <c:pt idx="6">
                  <c:v>8.3330054793019031</c:v>
                </c:pt>
                <c:pt idx="7">
                  <c:v>10.812957798136864</c:v>
                </c:pt>
                <c:pt idx="8">
                  <c:v>12.542910116971825</c:v>
                </c:pt>
                <c:pt idx="9">
                  <c:v>13.522862435806779</c:v>
                </c:pt>
                <c:pt idx="10">
                  <c:v>13.75281475464174</c:v>
                </c:pt>
                <c:pt idx="11">
                  <c:v>13.232767073476701</c:v>
                </c:pt>
                <c:pt idx="12">
                  <c:v>11.962719392311662</c:v>
                </c:pt>
                <c:pt idx="13">
                  <c:v>9.9426717111466232</c:v>
                </c:pt>
                <c:pt idx="14">
                  <c:v>7.1726240299815842</c:v>
                </c:pt>
                <c:pt idx="15">
                  <c:v>3.6525763488165452</c:v>
                </c:pt>
                <c:pt idx="16">
                  <c:v>-0.61747133234849372</c:v>
                </c:pt>
                <c:pt idx="17">
                  <c:v>-5.6375190135135327</c:v>
                </c:pt>
                <c:pt idx="18">
                  <c:v>-11.407566694678586</c:v>
                </c:pt>
                <c:pt idx="19">
                  <c:v>-17.927614375843625</c:v>
                </c:pt>
                <c:pt idx="20">
                  <c:v>-25.197662057008664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437568"/>
        <c:axId val="141447552"/>
      </c:scatterChart>
      <c:valAx>
        <c:axId val="14143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447552"/>
        <c:crosses val="autoZero"/>
        <c:crossBetween val="midCat"/>
      </c:valAx>
      <c:valAx>
        <c:axId val="14144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4375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v>V EF</c:v>
          </c:tx>
          <c:xVal>
            <c:numRef>
              <c:f>L.C2!$BC$136:$BC$156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L.C2!$BE$136:$BE$156</c:f>
              <c:numCache>
                <c:formatCode>General</c:formatCode>
                <c:ptCount val="21"/>
                <c:pt idx="0">
                  <c:v>-2.0752008637684893</c:v>
                </c:pt>
                <c:pt idx="1">
                  <c:v>-2.0752008637684893</c:v>
                </c:pt>
                <c:pt idx="2">
                  <c:v>-2.0752008637684893</c:v>
                </c:pt>
                <c:pt idx="3">
                  <c:v>-2.0752008637684893</c:v>
                </c:pt>
                <c:pt idx="4">
                  <c:v>-2.0752008637684893</c:v>
                </c:pt>
                <c:pt idx="5">
                  <c:v>-2.0752008637684893</c:v>
                </c:pt>
                <c:pt idx="6">
                  <c:v>-2.0752008637684893</c:v>
                </c:pt>
                <c:pt idx="7">
                  <c:v>-2.0752008637684893</c:v>
                </c:pt>
                <c:pt idx="8">
                  <c:v>-2.0752008637684893</c:v>
                </c:pt>
                <c:pt idx="9">
                  <c:v>-2.0752008637684893</c:v>
                </c:pt>
                <c:pt idx="10">
                  <c:v>-2.0752008637684893</c:v>
                </c:pt>
                <c:pt idx="11">
                  <c:v>-2.0752008637684893</c:v>
                </c:pt>
                <c:pt idx="12">
                  <c:v>-2.0752008637684893</c:v>
                </c:pt>
                <c:pt idx="13">
                  <c:v>-2.0752008637684893</c:v>
                </c:pt>
                <c:pt idx="14">
                  <c:v>-2.0752008637684893</c:v>
                </c:pt>
                <c:pt idx="15">
                  <c:v>-2.0752008637684893</c:v>
                </c:pt>
                <c:pt idx="16">
                  <c:v>-2.0752008637684893</c:v>
                </c:pt>
                <c:pt idx="17">
                  <c:v>-2.0752008637684893</c:v>
                </c:pt>
                <c:pt idx="18">
                  <c:v>-2.0752008637684893</c:v>
                </c:pt>
                <c:pt idx="19">
                  <c:v>-2.0752008637684893</c:v>
                </c:pt>
                <c:pt idx="20">
                  <c:v>-2.0752008637684893</c:v>
                </c:pt>
              </c:numCache>
            </c:numRef>
          </c:yVal>
          <c:smooth val="1"/>
        </c:ser>
        <c:ser>
          <c:idx val="2"/>
          <c:order val="1"/>
          <c:tx>
            <c:v>M EF</c:v>
          </c:tx>
          <c:xVal>
            <c:numRef>
              <c:f>L.C2!$BC$136:$BC$156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L.C2!$BF$136:$BF$156</c:f>
              <c:numCache>
                <c:formatCode>General</c:formatCode>
                <c:ptCount val="21"/>
                <c:pt idx="0">
                  <c:v>0</c:v>
                </c:pt>
                <c:pt idx="1">
                  <c:v>-0.41504017275369787</c:v>
                </c:pt>
                <c:pt idx="2">
                  <c:v>-0.83008034550739573</c:v>
                </c:pt>
                <c:pt idx="3">
                  <c:v>-1.2451205182610936</c:v>
                </c:pt>
                <c:pt idx="4">
                  <c:v>-1.6601606910147915</c:v>
                </c:pt>
                <c:pt idx="5">
                  <c:v>-2.0752008637684893</c:v>
                </c:pt>
                <c:pt idx="6">
                  <c:v>-2.4902410365221872</c:v>
                </c:pt>
                <c:pt idx="7">
                  <c:v>-2.9052812092758851</c:v>
                </c:pt>
                <c:pt idx="8">
                  <c:v>-3.3203213820295829</c:v>
                </c:pt>
                <c:pt idx="9">
                  <c:v>-3.7353615547832808</c:v>
                </c:pt>
                <c:pt idx="10">
                  <c:v>-4.1504017275369787</c:v>
                </c:pt>
                <c:pt idx="11">
                  <c:v>-4.5654419002906765</c:v>
                </c:pt>
                <c:pt idx="12">
                  <c:v>-4.9804820730443744</c:v>
                </c:pt>
                <c:pt idx="13">
                  <c:v>-5.3955222457980723</c:v>
                </c:pt>
                <c:pt idx="14">
                  <c:v>-5.8105624185517701</c:v>
                </c:pt>
                <c:pt idx="15">
                  <c:v>-6.225602591305468</c:v>
                </c:pt>
                <c:pt idx="16">
                  <c:v>-6.6406427640591659</c:v>
                </c:pt>
                <c:pt idx="17">
                  <c:v>-7.0556829368128637</c:v>
                </c:pt>
                <c:pt idx="18">
                  <c:v>-7.4707231095665616</c:v>
                </c:pt>
                <c:pt idx="19">
                  <c:v>-7.8857632823202595</c:v>
                </c:pt>
                <c:pt idx="20">
                  <c:v>-8.3008034550739573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475840"/>
        <c:axId val="141477376"/>
      </c:scatterChart>
      <c:val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477376"/>
        <c:crosses val="autoZero"/>
        <c:crossBetween val="midCat"/>
      </c:valAx>
      <c:valAx>
        <c:axId val="141477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4758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N EG</c:v>
          </c:tx>
          <c:xVal>
            <c:numRef>
              <c:f>L.C2!$BJ$136:$BJ$156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L.C2!$BK$136:$BK$156</c:f>
              <c:numCache>
                <c:formatCode>General</c:formatCode>
                <c:ptCount val="21"/>
                <c:pt idx="0">
                  <c:v>-35.509350805748582</c:v>
                </c:pt>
                <c:pt idx="1">
                  <c:v>-35.509350805748582</c:v>
                </c:pt>
                <c:pt idx="2">
                  <c:v>-35.509350805748582</c:v>
                </c:pt>
                <c:pt idx="3">
                  <c:v>-35.509350805748582</c:v>
                </c:pt>
                <c:pt idx="4">
                  <c:v>-35.509350805748582</c:v>
                </c:pt>
                <c:pt idx="5">
                  <c:v>-35.509350805748582</c:v>
                </c:pt>
                <c:pt idx="6">
                  <c:v>-35.509350805748582</c:v>
                </c:pt>
                <c:pt idx="7">
                  <c:v>-35.509350805748582</c:v>
                </c:pt>
                <c:pt idx="8">
                  <c:v>-35.509350805748582</c:v>
                </c:pt>
                <c:pt idx="9">
                  <c:v>-35.509350805748582</c:v>
                </c:pt>
                <c:pt idx="10">
                  <c:v>-35.509350805748582</c:v>
                </c:pt>
                <c:pt idx="11">
                  <c:v>-35.509350805748582</c:v>
                </c:pt>
                <c:pt idx="12">
                  <c:v>-35.509350805748582</c:v>
                </c:pt>
                <c:pt idx="13">
                  <c:v>-35.509350805748582</c:v>
                </c:pt>
                <c:pt idx="14">
                  <c:v>-35.509350805748582</c:v>
                </c:pt>
                <c:pt idx="15">
                  <c:v>-35.509350805748582</c:v>
                </c:pt>
                <c:pt idx="16">
                  <c:v>-35.509350805748582</c:v>
                </c:pt>
                <c:pt idx="17">
                  <c:v>-35.509350805748582</c:v>
                </c:pt>
                <c:pt idx="18">
                  <c:v>-35.509350805748582</c:v>
                </c:pt>
                <c:pt idx="19">
                  <c:v>-35.509350805748582</c:v>
                </c:pt>
                <c:pt idx="20">
                  <c:v>-35.509350805748582</c:v>
                </c:pt>
              </c:numCache>
            </c:numRef>
          </c:yVal>
          <c:smooth val="1"/>
        </c:ser>
        <c:ser>
          <c:idx val="1"/>
          <c:order val="1"/>
          <c:tx>
            <c:v>V EG</c:v>
          </c:tx>
          <c:xVal>
            <c:numRef>
              <c:f>L.C2!$BJ$136:$BJ$156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L.C2!$BL$136:$BL$156</c:f>
              <c:numCache>
                <c:formatCode>General</c:formatCode>
                <c:ptCount val="21"/>
                <c:pt idx="0">
                  <c:v>31.532532246877061</c:v>
                </c:pt>
                <c:pt idx="1">
                  <c:v>29.132532246877062</c:v>
                </c:pt>
                <c:pt idx="2">
                  <c:v>26.73253224687706</c:v>
                </c:pt>
                <c:pt idx="3">
                  <c:v>24.332532246877062</c:v>
                </c:pt>
                <c:pt idx="4">
                  <c:v>21.932532246877059</c:v>
                </c:pt>
                <c:pt idx="5">
                  <c:v>19.532532246877061</c:v>
                </c:pt>
                <c:pt idx="6">
                  <c:v>17.132532246877062</c:v>
                </c:pt>
                <c:pt idx="7">
                  <c:v>14.732532246877064</c:v>
                </c:pt>
                <c:pt idx="8">
                  <c:v>12.332532246877058</c:v>
                </c:pt>
                <c:pt idx="9">
                  <c:v>9.9325322468770594</c:v>
                </c:pt>
                <c:pt idx="10">
                  <c:v>7.5325322468770608</c:v>
                </c:pt>
                <c:pt idx="11">
                  <c:v>5.1325322468770587</c:v>
                </c:pt>
                <c:pt idx="12">
                  <c:v>2.7325322468770636</c:v>
                </c:pt>
                <c:pt idx="13">
                  <c:v>0.33253224687705796</c:v>
                </c:pt>
                <c:pt idx="14">
                  <c:v>-2.0674677531229335</c:v>
                </c:pt>
                <c:pt idx="15">
                  <c:v>-4.4674677531229392</c:v>
                </c:pt>
                <c:pt idx="16">
                  <c:v>-6.8674677531229449</c:v>
                </c:pt>
                <c:pt idx="17">
                  <c:v>-9.2674677531229364</c:v>
                </c:pt>
                <c:pt idx="18">
                  <c:v>-11.667467753122942</c:v>
                </c:pt>
                <c:pt idx="19">
                  <c:v>-14.067467753122934</c:v>
                </c:pt>
                <c:pt idx="20">
                  <c:v>-16.467467753122939</c:v>
                </c:pt>
              </c:numCache>
            </c:numRef>
          </c:yVal>
          <c:smooth val="1"/>
        </c:ser>
        <c:ser>
          <c:idx val="2"/>
          <c:order val="2"/>
          <c:tx>
            <c:v>M EG</c:v>
          </c:tx>
          <c:xVal>
            <c:numRef>
              <c:f>L.C2!$BJ$136:$BJ$156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L.C2!$BM$136:$BM$156</c:f>
              <c:numCache>
                <c:formatCode>General</c:formatCode>
                <c:ptCount val="21"/>
                <c:pt idx="0">
                  <c:v>-33.498465512082618</c:v>
                </c:pt>
                <c:pt idx="1">
                  <c:v>-27.431959062707204</c:v>
                </c:pt>
                <c:pt idx="2">
                  <c:v>-21.845452613331794</c:v>
                </c:pt>
                <c:pt idx="3">
                  <c:v>-16.738946163956381</c:v>
                </c:pt>
                <c:pt idx="4">
                  <c:v>-12.112439714580969</c:v>
                </c:pt>
                <c:pt idx="5">
                  <c:v>-7.9659332652055568</c:v>
                </c:pt>
                <c:pt idx="6">
                  <c:v>-4.2994268158301452</c:v>
                </c:pt>
                <c:pt idx="7">
                  <c:v>-1.1129203664547305</c:v>
                </c:pt>
                <c:pt idx="8">
                  <c:v>1.5935860829206767</c:v>
                </c:pt>
                <c:pt idx="9">
                  <c:v>3.8200925322960906</c:v>
                </c:pt>
                <c:pt idx="10">
                  <c:v>5.566598981671504</c:v>
                </c:pt>
                <c:pt idx="11">
                  <c:v>6.833105431046917</c:v>
                </c:pt>
                <c:pt idx="12">
                  <c:v>7.6196118804223261</c:v>
                </c:pt>
                <c:pt idx="13">
                  <c:v>7.9261183297977453</c:v>
                </c:pt>
                <c:pt idx="14">
                  <c:v>7.7526247791731606</c:v>
                </c:pt>
                <c:pt idx="15">
                  <c:v>7.0991312285485719</c:v>
                </c:pt>
                <c:pt idx="16">
                  <c:v>5.965637677923965</c:v>
                </c:pt>
                <c:pt idx="17">
                  <c:v>4.3521441272993968</c:v>
                </c:pt>
                <c:pt idx="18">
                  <c:v>2.2586505766747962</c:v>
                </c:pt>
                <c:pt idx="19">
                  <c:v>-0.31484297394979421</c:v>
                </c:pt>
                <c:pt idx="20">
                  <c:v>-3.3683365245743744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499776"/>
        <c:axId val="141505664"/>
      </c:scatterChart>
      <c:valAx>
        <c:axId val="14149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505664"/>
        <c:crosses val="autoZero"/>
        <c:crossBetween val="midCat"/>
      </c:valAx>
      <c:valAx>
        <c:axId val="141505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4997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2"/>
          <c:order val="0"/>
          <c:tx>
            <c:v>N GH</c:v>
          </c:tx>
          <c:xVal>
            <c:numRef>
              <c:f>L.C2!$BP$136:$BP$156</c:f>
              <c:numCache>
                <c:formatCode>General</c:formatCode>
                <c:ptCount val="21"/>
                <c:pt idx="0">
                  <c:v>5.6568542494923806</c:v>
                </c:pt>
                <c:pt idx="1">
                  <c:v>5.3740115370177612</c:v>
                </c:pt>
                <c:pt idx="2">
                  <c:v>5.0911688245431428</c:v>
                </c:pt>
                <c:pt idx="3">
                  <c:v>4.8083261120685235</c:v>
                </c:pt>
                <c:pt idx="4">
                  <c:v>4.5254833995939041</c:v>
                </c:pt>
                <c:pt idx="5">
                  <c:v>4.2426406871192857</c:v>
                </c:pt>
                <c:pt idx="6">
                  <c:v>3.9597979746446663</c:v>
                </c:pt>
                <c:pt idx="7">
                  <c:v>3.6769552621700474</c:v>
                </c:pt>
                <c:pt idx="8">
                  <c:v>3.3941125496954285</c:v>
                </c:pt>
                <c:pt idx="9">
                  <c:v>3.1112698372208092</c:v>
                </c:pt>
                <c:pt idx="10">
                  <c:v>2.8284271247461903</c:v>
                </c:pt>
                <c:pt idx="11">
                  <c:v>2.5455844122715714</c:v>
                </c:pt>
                <c:pt idx="12">
                  <c:v>2.2627416997969521</c:v>
                </c:pt>
                <c:pt idx="13">
                  <c:v>1.9798989873223327</c:v>
                </c:pt>
                <c:pt idx="14">
                  <c:v>1.6970562748477143</c:v>
                </c:pt>
                <c:pt idx="15">
                  <c:v>1.4142135623730949</c:v>
                </c:pt>
                <c:pt idx="16">
                  <c:v>1.1313708498984765</c:v>
                </c:pt>
                <c:pt idx="17">
                  <c:v>0.84852813742385713</c:v>
                </c:pt>
                <c:pt idx="18">
                  <c:v>0.56568542494923779</c:v>
                </c:pt>
                <c:pt idx="19">
                  <c:v>0.28284271247461934</c:v>
                </c:pt>
                <c:pt idx="20">
                  <c:v>0</c:v>
                </c:pt>
              </c:numCache>
            </c:numRef>
          </c:xVal>
          <c:yVal>
            <c:numRef>
              <c:f>L.C2!$BS$136:$BS$156</c:f>
              <c:numCache>
                <c:formatCode>General</c:formatCode>
                <c:ptCount val="21"/>
                <c:pt idx="0">
                  <c:v>-22.611025243749896</c:v>
                </c:pt>
                <c:pt idx="1">
                  <c:v>-23.742396093648374</c:v>
                </c:pt>
                <c:pt idx="2">
                  <c:v>-24.873766943546848</c:v>
                </c:pt>
                <c:pt idx="3">
                  <c:v>-26.005137793445325</c:v>
                </c:pt>
                <c:pt idx="4">
                  <c:v>-27.136508643343799</c:v>
                </c:pt>
                <c:pt idx="5">
                  <c:v>-28.267879493242276</c:v>
                </c:pt>
                <c:pt idx="6">
                  <c:v>-29.399250343140753</c:v>
                </c:pt>
                <c:pt idx="7">
                  <c:v>-30.530621193039227</c:v>
                </c:pt>
                <c:pt idx="8">
                  <c:v>-31.661992042937705</c:v>
                </c:pt>
                <c:pt idx="9">
                  <c:v>-32.793362892836178</c:v>
                </c:pt>
                <c:pt idx="10">
                  <c:v>-33.924733742734659</c:v>
                </c:pt>
                <c:pt idx="11">
                  <c:v>-35.056104592633133</c:v>
                </c:pt>
                <c:pt idx="12">
                  <c:v>-36.187475442531607</c:v>
                </c:pt>
                <c:pt idx="13">
                  <c:v>-37.318846292430088</c:v>
                </c:pt>
                <c:pt idx="14">
                  <c:v>-38.450217142328562</c:v>
                </c:pt>
                <c:pt idx="15">
                  <c:v>-39.581587992227035</c:v>
                </c:pt>
                <c:pt idx="16">
                  <c:v>-40.712958842125509</c:v>
                </c:pt>
                <c:pt idx="17">
                  <c:v>-41.84432969202399</c:v>
                </c:pt>
                <c:pt idx="18">
                  <c:v>-42.975700541922464</c:v>
                </c:pt>
                <c:pt idx="19">
                  <c:v>-44.107071391820938</c:v>
                </c:pt>
                <c:pt idx="20">
                  <c:v>-45.238442241719412</c:v>
                </c:pt>
              </c:numCache>
            </c:numRef>
          </c:yVal>
          <c:smooth val="1"/>
        </c:ser>
        <c:ser>
          <c:idx val="3"/>
          <c:order val="1"/>
          <c:tx>
            <c:v>V GH</c:v>
          </c:tx>
          <c:xVal>
            <c:numRef>
              <c:f>L.C2!$BP$136:$BP$156</c:f>
              <c:numCache>
                <c:formatCode>General</c:formatCode>
                <c:ptCount val="21"/>
                <c:pt idx="0">
                  <c:v>5.6568542494923806</c:v>
                </c:pt>
                <c:pt idx="1">
                  <c:v>5.3740115370177612</c:v>
                </c:pt>
                <c:pt idx="2">
                  <c:v>5.0911688245431428</c:v>
                </c:pt>
                <c:pt idx="3">
                  <c:v>4.8083261120685235</c:v>
                </c:pt>
                <c:pt idx="4">
                  <c:v>4.5254833995939041</c:v>
                </c:pt>
                <c:pt idx="5">
                  <c:v>4.2426406871192857</c:v>
                </c:pt>
                <c:pt idx="6">
                  <c:v>3.9597979746446663</c:v>
                </c:pt>
                <c:pt idx="7">
                  <c:v>3.6769552621700474</c:v>
                </c:pt>
                <c:pt idx="8">
                  <c:v>3.3941125496954285</c:v>
                </c:pt>
                <c:pt idx="9">
                  <c:v>3.1112698372208092</c:v>
                </c:pt>
                <c:pt idx="10">
                  <c:v>2.8284271247461903</c:v>
                </c:pt>
                <c:pt idx="11">
                  <c:v>2.5455844122715714</c:v>
                </c:pt>
                <c:pt idx="12">
                  <c:v>2.2627416997969521</c:v>
                </c:pt>
                <c:pt idx="13">
                  <c:v>1.9798989873223327</c:v>
                </c:pt>
                <c:pt idx="14">
                  <c:v>1.6970562748477143</c:v>
                </c:pt>
                <c:pt idx="15">
                  <c:v>1.4142135623730949</c:v>
                </c:pt>
                <c:pt idx="16">
                  <c:v>1.1313708498984765</c:v>
                </c:pt>
                <c:pt idx="17">
                  <c:v>0.84852813742385713</c:v>
                </c:pt>
                <c:pt idx="18">
                  <c:v>0.56568542494923779</c:v>
                </c:pt>
                <c:pt idx="19">
                  <c:v>0.28284271247461934</c:v>
                </c:pt>
                <c:pt idx="20">
                  <c:v>0</c:v>
                </c:pt>
              </c:numCache>
            </c:numRef>
          </c:xVal>
          <c:yVal>
            <c:numRef>
              <c:f>L.C2!$BT$136:$BT$156</c:f>
              <c:numCache>
                <c:formatCode>General</c:formatCode>
                <c:ptCount val="21"/>
                <c:pt idx="0">
                  <c:v>-17.648053739135303</c:v>
                </c:pt>
                <c:pt idx="1">
                  <c:v>-16.516682889236826</c:v>
                </c:pt>
                <c:pt idx="2">
                  <c:v>-15.385312039338352</c:v>
                </c:pt>
                <c:pt idx="3">
                  <c:v>-14.253941189439875</c:v>
                </c:pt>
                <c:pt idx="4">
                  <c:v>-13.122570339541401</c:v>
                </c:pt>
                <c:pt idx="5">
                  <c:v>-11.991199489642923</c:v>
                </c:pt>
                <c:pt idx="6">
                  <c:v>-10.859828639744446</c:v>
                </c:pt>
                <c:pt idx="7">
                  <c:v>-9.7284577898459723</c:v>
                </c:pt>
                <c:pt idx="8">
                  <c:v>-8.5970869399474967</c:v>
                </c:pt>
                <c:pt idx="9">
                  <c:v>-7.4657160900490194</c:v>
                </c:pt>
                <c:pt idx="10">
                  <c:v>-6.3343452401505438</c:v>
                </c:pt>
                <c:pt idx="11">
                  <c:v>-5.2029743902520682</c:v>
                </c:pt>
                <c:pt idx="12">
                  <c:v>-4.0716035403535908</c:v>
                </c:pt>
                <c:pt idx="13">
                  <c:v>-2.9402326904551135</c:v>
                </c:pt>
                <c:pt idx="14">
                  <c:v>-1.8088618405566397</c:v>
                </c:pt>
                <c:pt idx="15">
                  <c:v>-0.67749099065816409</c:v>
                </c:pt>
                <c:pt idx="16">
                  <c:v>0.45387985924030971</c:v>
                </c:pt>
                <c:pt idx="17">
                  <c:v>1.5852507091387871</c:v>
                </c:pt>
                <c:pt idx="18">
                  <c:v>2.7166215590372644</c:v>
                </c:pt>
                <c:pt idx="19">
                  <c:v>3.8479924089357382</c:v>
                </c:pt>
                <c:pt idx="20">
                  <c:v>4.9793632588342156</c:v>
                </c:pt>
              </c:numCache>
            </c:numRef>
          </c:yVal>
          <c:smooth val="1"/>
        </c:ser>
        <c:ser>
          <c:idx val="4"/>
          <c:order val="2"/>
          <c:tx>
            <c:v>M GH</c:v>
          </c:tx>
          <c:xVal>
            <c:numRef>
              <c:f>L.C2!$BP$136:$BP$156</c:f>
              <c:numCache>
                <c:formatCode>General</c:formatCode>
                <c:ptCount val="21"/>
                <c:pt idx="0">
                  <c:v>5.6568542494923806</c:v>
                </c:pt>
                <c:pt idx="1">
                  <c:v>5.3740115370177612</c:v>
                </c:pt>
                <c:pt idx="2">
                  <c:v>5.0911688245431428</c:v>
                </c:pt>
                <c:pt idx="3">
                  <c:v>4.8083261120685235</c:v>
                </c:pt>
                <c:pt idx="4">
                  <c:v>4.5254833995939041</c:v>
                </c:pt>
                <c:pt idx="5">
                  <c:v>4.2426406871192857</c:v>
                </c:pt>
                <c:pt idx="6">
                  <c:v>3.9597979746446663</c:v>
                </c:pt>
                <c:pt idx="7">
                  <c:v>3.6769552621700474</c:v>
                </c:pt>
                <c:pt idx="8">
                  <c:v>3.3941125496954285</c:v>
                </c:pt>
                <c:pt idx="9">
                  <c:v>3.1112698372208092</c:v>
                </c:pt>
                <c:pt idx="10">
                  <c:v>2.8284271247461903</c:v>
                </c:pt>
                <c:pt idx="11">
                  <c:v>2.5455844122715714</c:v>
                </c:pt>
                <c:pt idx="12">
                  <c:v>2.2627416997969521</c:v>
                </c:pt>
                <c:pt idx="13">
                  <c:v>1.9798989873223327</c:v>
                </c:pt>
                <c:pt idx="14">
                  <c:v>1.6970562748477143</c:v>
                </c:pt>
                <c:pt idx="15">
                  <c:v>1.4142135623730949</c:v>
                </c:pt>
                <c:pt idx="16">
                  <c:v>1.1313708498984765</c:v>
                </c:pt>
                <c:pt idx="17">
                  <c:v>0.84852813742385713</c:v>
                </c:pt>
                <c:pt idx="18">
                  <c:v>0.56568542494923779</c:v>
                </c:pt>
                <c:pt idx="19">
                  <c:v>0.28284271247461934</c:v>
                </c:pt>
                <c:pt idx="20">
                  <c:v>0</c:v>
                </c:pt>
              </c:numCache>
            </c:numRef>
          </c:xVal>
          <c:yVal>
            <c:numRef>
              <c:f>L.C2!$BU$136:$BU$156</c:f>
              <c:numCache>
                <c:formatCode>General</c:formatCode>
                <c:ptCount val="21"/>
                <c:pt idx="0">
                  <c:v>-27.200804314071796</c:v>
                </c:pt>
                <c:pt idx="1">
                  <c:v>-22.369180924596925</c:v>
                </c:pt>
                <c:pt idx="2">
                  <c:v>-17.857557535122055</c:v>
                </c:pt>
                <c:pt idx="3">
                  <c:v>-13.66593414564718</c:v>
                </c:pt>
                <c:pt idx="4">
                  <c:v>-9.7943107561723082</c:v>
                </c:pt>
                <c:pt idx="5">
                  <c:v>-6.2426873666974352</c:v>
                </c:pt>
                <c:pt idx="6">
                  <c:v>-3.0110639772225651</c:v>
                </c:pt>
                <c:pt idx="7">
                  <c:v>-9.9440587747697151E-2</c:v>
                </c:pt>
                <c:pt idx="8">
                  <c:v>2.4921828017271785</c:v>
                </c:pt>
                <c:pt idx="9">
                  <c:v>4.7638061912020504</c:v>
                </c:pt>
                <c:pt idx="10">
                  <c:v>6.7154295806769255</c:v>
                </c:pt>
                <c:pt idx="11">
                  <c:v>8.3470529701517933</c:v>
                </c:pt>
                <c:pt idx="12">
                  <c:v>9.6586763596266643</c:v>
                </c:pt>
                <c:pt idx="13">
                  <c:v>10.650299749101542</c:v>
                </c:pt>
                <c:pt idx="14">
                  <c:v>11.321923138576402</c:v>
                </c:pt>
                <c:pt idx="15">
                  <c:v>11.673546528051283</c:v>
                </c:pt>
                <c:pt idx="16">
                  <c:v>11.705169917526156</c:v>
                </c:pt>
                <c:pt idx="17">
                  <c:v>11.416793307001036</c:v>
                </c:pt>
                <c:pt idx="18">
                  <c:v>10.808416696475895</c:v>
                </c:pt>
                <c:pt idx="19">
                  <c:v>9.8800400859507818</c:v>
                </c:pt>
                <c:pt idx="20">
                  <c:v>8.631663475425654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43680"/>
        <c:axId val="141545472"/>
      </c:scatterChart>
      <c:valAx>
        <c:axId val="14154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545472"/>
        <c:crosses val="autoZero"/>
        <c:crossBetween val="midCat"/>
      </c:valAx>
      <c:valAx>
        <c:axId val="14154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5436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N BC</c:v>
          </c:tx>
          <c:xVal>
            <c:numRef>
              <c:f>L.C1!$AH$136:$AH$156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L.C1!$AI$136:$AI$156</c:f>
              <c:numCache>
                <c:formatCode>General</c:formatCode>
                <c:ptCount val="21"/>
                <c:pt idx="0">
                  <c:v>-33.530259322357061</c:v>
                </c:pt>
                <c:pt idx="1">
                  <c:v>-33.530259322357061</c:v>
                </c:pt>
                <c:pt idx="2">
                  <c:v>-33.530259322357061</c:v>
                </c:pt>
                <c:pt idx="3">
                  <c:v>-33.530259322357061</c:v>
                </c:pt>
                <c:pt idx="4">
                  <c:v>-33.530259322357061</c:v>
                </c:pt>
                <c:pt idx="5">
                  <c:v>-33.530259322357061</c:v>
                </c:pt>
                <c:pt idx="6">
                  <c:v>-33.530259322357061</c:v>
                </c:pt>
                <c:pt idx="7">
                  <c:v>-33.530259322357061</c:v>
                </c:pt>
                <c:pt idx="8">
                  <c:v>-33.530259322357061</c:v>
                </c:pt>
                <c:pt idx="9">
                  <c:v>-33.530259322357061</c:v>
                </c:pt>
                <c:pt idx="10">
                  <c:v>-33.530259322357061</c:v>
                </c:pt>
                <c:pt idx="11">
                  <c:v>-33.530259322357061</c:v>
                </c:pt>
                <c:pt idx="12">
                  <c:v>-33.530259322357061</c:v>
                </c:pt>
                <c:pt idx="13">
                  <c:v>-33.530259322357061</c:v>
                </c:pt>
                <c:pt idx="14">
                  <c:v>-33.530259322357061</c:v>
                </c:pt>
                <c:pt idx="15">
                  <c:v>-33.530259322357061</c:v>
                </c:pt>
                <c:pt idx="16">
                  <c:v>-33.530259322357061</c:v>
                </c:pt>
                <c:pt idx="17">
                  <c:v>-33.530259322357061</c:v>
                </c:pt>
                <c:pt idx="18">
                  <c:v>-33.530259322357061</c:v>
                </c:pt>
                <c:pt idx="19">
                  <c:v>-33.530259322357061</c:v>
                </c:pt>
                <c:pt idx="20">
                  <c:v>-33.530259322357061</c:v>
                </c:pt>
              </c:numCache>
            </c:numRef>
          </c:yVal>
          <c:smooth val="1"/>
        </c:ser>
        <c:ser>
          <c:idx val="1"/>
          <c:order val="1"/>
          <c:tx>
            <c:v>V BC</c:v>
          </c:tx>
          <c:xVal>
            <c:numRef>
              <c:f>L.C1!$AH$136:$AH$156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L.C1!$AJ$136:$AJ$156</c:f>
              <c:numCache>
                <c:formatCode>General</c:formatCode>
                <c:ptCount val="21"/>
                <c:pt idx="0">
                  <c:v>22.174980636755684</c:v>
                </c:pt>
                <c:pt idx="1">
                  <c:v>19.774980636755686</c:v>
                </c:pt>
                <c:pt idx="2">
                  <c:v>17.374980636755684</c:v>
                </c:pt>
                <c:pt idx="3">
                  <c:v>14.974980636755685</c:v>
                </c:pt>
                <c:pt idx="4">
                  <c:v>12.574980636755683</c:v>
                </c:pt>
                <c:pt idx="5">
                  <c:v>10.174980636755684</c:v>
                </c:pt>
                <c:pt idx="6">
                  <c:v>7.7749806367556857</c:v>
                </c:pt>
                <c:pt idx="7">
                  <c:v>5.3749806367556872</c:v>
                </c:pt>
                <c:pt idx="8">
                  <c:v>2.9749806367556815</c:v>
                </c:pt>
                <c:pt idx="9">
                  <c:v>0.57498063675568289</c:v>
                </c:pt>
                <c:pt idx="10">
                  <c:v>-1.8250193632443157</c:v>
                </c:pt>
                <c:pt idx="11">
                  <c:v>-4.2250193632443178</c:v>
                </c:pt>
                <c:pt idx="12">
                  <c:v>-6.6250193632443128</c:v>
                </c:pt>
                <c:pt idx="13">
                  <c:v>-9.0250193632443185</c:v>
                </c:pt>
                <c:pt idx="14">
                  <c:v>-11.42501936324431</c:v>
                </c:pt>
                <c:pt idx="15">
                  <c:v>-13.825019363244316</c:v>
                </c:pt>
                <c:pt idx="16">
                  <c:v>-16.225019363244321</c:v>
                </c:pt>
                <c:pt idx="17">
                  <c:v>-18.625019363244313</c:v>
                </c:pt>
                <c:pt idx="18">
                  <c:v>-21.025019363244319</c:v>
                </c:pt>
                <c:pt idx="19">
                  <c:v>-23.42501936324431</c:v>
                </c:pt>
                <c:pt idx="20">
                  <c:v>-25.825019363244316</c:v>
                </c:pt>
              </c:numCache>
            </c:numRef>
          </c:yVal>
          <c:smooth val="1"/>
        </c:ser>
        <c:ser>
          <c:idx val="2"/>
          <c:order val="2"/>
          <c:tx>
            <c:v>M BC</c:v>
          </c:tx>
          <c:xVal>
            <c:numRef>
              <c:f>L.C1!$AH$136:$AH$156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L.C1!$AK$136:$AK$156</c:f>
              <c:numCache>
                <c:formatCode>General</c:formatCode>
                <c:ptCount val="21"/>
                <c:pt idx="0">
                  <c:v>-12.839659433210386</c:v>
                </c:pt>
                <c:pt idx="1">
                  <c:v>-8.6446633058592486</c:v>
                </c:pt>
                <c:pt idx="2">
                  <c:v>-4.9296671785081125</c:v>
                </c:pt>
                <c:pt idx="3">
                  <c:v>-1.6946710511569751</c:v>
                </c:pt>
                <c:pt idx="4">
                  <c:v>1.0603250761941601</c:v>
                </c:pt>
                <c:pt idx="5">
                  <c:v>3.3353212035452984</c:v>
                </c:pt>
                <c:pt idx="6">
                  <c:v>5.1303173308964354</c:v>
                </c:pt>
                <c:pt idx="7">
                  <c:v>6.445313458247572</c:v>
                </c:pt>
                <c:pt idx="8">
                  <c:v>7.2803095855987046</c:v>
                </c:pt>
                <c:pt idx="9">
                  <c:v>7.6353057129498474</c:v>
                </c:pt>
                <c:pt idx="10">
                  <c:v>7.5103018403009827</c:v>
                </c:pt>
                <c:pt idx="11">
                  <c:v>6.9052979676521176</c:v>
                </c:pt>
                <c:pt idx="12">
                  <c:v>5.8202940950032556</c:v>
                </c:pt>
                <c:pt idx="13">
                  <c:v>4.2552902223543896</c:v>
                </c:pt>
                <c:pt idx="14">
                  <c:v>2.2102863497055338</c:v>
                </c:pt>
                <c:pt idx="15">
                  <c:v>-0.3147175229433401</c:v>
                </c:pt>
                <c:pt idx="16">
                  <c:v>-3.3197213955922109</c:v>
                </c:pt>
                <c:pt idx="17">
                  <c:v>-6.8047252682410431</c:v>
                </c:pt>
                <c:pt idx="18">
                  <c:v>-10.769729140889922</c:v>
                </c:pt>
                <c:pt idx="19">
                  <c:v>-15.21473301353879</c:v>
                </c:pt>
                <c:pt idx="20">
                  <c:v>-20.139736886187649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97280"/>
        <c:axId val="140915456"/>
      </c:scatterChart>
      <c:valAx>
        <c:axId val="1408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915456"/>
        <c:crosses val="autoZero"/>
        <c:crossBetween val="midCat"/>
      </c:valAx>
      <c:valAx>
        <c:axId val="14091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897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 EF</c:v>
          </c:tx>
          <c:xVal>
            <c:numRef>
              <c:f>L.C2!$BC$136:$BC$156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L.C2!$BD$136:$BD$156</c:f>
              <c:numCache>
                <c:formatCode>General</c:formatCode>
                <c:ptCount val="21"/>
                <c:pt idx="0">
                  <c:v>-62.112722971537224</c:v>
                </c:pt>
                <c:pt idx="1">
                  <c:v>-62.112722971537224</c:v>
                </c:pt>
                <c:pt idx="2">
                  <c:v>-62.112722971537224</c:v>
                </c:pt>
                <c:pt idx="3">
                  <c:v>-62.112722971537224</c:v>
                </c:pt>
                <c:pt idx="4">
                  <c:v>-62.112722971537224</c:v>
                </c:pt>
                <c:pt idx="5">
                  <c:v>-62.112722971537224</c:v>
                </c:pt>
                <c:pt idx="6">
                  <c:v>-62.112722971537224</c:v>
                </c:pt>
                <c:pt idx="7">
                  <c:v>-62.112722971537224</c:v>
                </c:pt>
                <c:pt idx="8">
                  <c:v>-62.112722971537224</c:v>
                </c:pt>
                <c:pt idx="9">
                  <c:v>-62.112722971537224</c:v>
                </c:pt>
                <c:pt idx="10">
                  <c:v>-62.112722971537224</c:v>
                </c:pt>
                <c:pt idx="11">
                  <c:v>-62.112722971537224</c:v>
                </c:pt>
                <c:pt idx="12">
                  <c:v>-62.112722971537224</c:v>
                </c:pt>
                <c:pt idx="13">
                  <c:v>-62.112722971537224</c:v>
                </c:pt>
                <c:pt idx="14">
                  <c:v>-62.112722971537224</c:v>
                </c:pt>
                <c:pt idx="15">
                  <c:v>-62.112722971537224</c:v>
                </c:pt>
                <c:pt idx="16">
                  <c:v>-62.112722971537224</c:v>
                </c:pt>
                <c:pt idx="17">
                  <c:v>-62.112722971537224</c:v>
                </c:pt>
                <c:pt idx="18">
                  <c:v>-62.112722971537224</c:v>
                </c:pt>
                <c:pt idx="19">
                  <c:v>-62.112722971537224</c:v>
                </c:pt>
                <c:pt idx="20">
                  <c:v>-62.112722971537224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55584"/>
        <c:axId val="141557120"/>
      </c:scatterChart>
      <c:valAx>
        <c:axId val="1415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557120"/>
        <c:crosses val="autoZero"/>
        <c:crossBetween val="midCat"/>
      </c:valAx>
      <c:valAx>
        <c:axId val="14155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555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 CD</c:v>
          </c:tx>
          <c:xVal>
            <c:numRef>
              <c:f>L.C2!$AO$136:$AO$156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L.C2!$AP$136:$AP$156</c:f>
              <c:numCache>
                <c:formatCode>General</c:formatCode>
                <c:ptCount val="21"/>
                <c:pt idx="0">
                  <c:v>-50.419948467780898</c:v>
                </c:pt>
                <c:pt idx="1">
                  <c:v>-50.419948467780898</c:v>
                </c:pt>
                <c:pt idx="2">
                  <c:v>-50.419948467780898</c:v>
                </c:pt>
                <c:pt idx="3">
                  <c:v>-50.419948467780898</c:v>
                </c:pt>
                <c:pt idx="4">
                  <c:v>-50.419948467780898</c:v>
                </c:pt>
                <c:pt idx="5">
                  <c:v>-50.419948467780898</c:v>
                </c:pt>
                <c:pt idx="6">
                  <c:v>-50.419948467780898</c:v>
                </c:pt>
                <c:pt idx="7">
                  <c:v>-50.419948467780898</c:v>
                </c:pt>
                <c:pt idx="8">
                  <c:v>-50.419948467780898</c:v>
                </c:pt>
                <c:pt idx="9">
                  <c:v>-50.419948467780898</c:v>
                </c:pt>
                <c:pt idx="10">
                  <c:v>-50.419948467780898</c:v>
                </c:pt>
                <c:pt idx="11">
                  <c:v>-50.419948467780898</c:v>
                </c:pt>
                <c:pt idx="12">
                  <c:v>-50.419948467780898</c:v>
                </c:pt>
                <c:pt idx="13">
                  <c:v>-50.419948467780898</c:v>
                </c:pt>
                <c:pt idx="14">
                  <c:v>-50.419948467780898</c:v>
                </c:pt>
                <c:pt idx="15">
                  <c:v>-50.419948467780898</c:v>
                </c:pt>
                <c:pt idx="16">
                  <c:v>-50.419948467780898</c:v>
                </c:pt>
                <c:pt idx="17">
                  <c:v>-50.419948467780898</c:v>
                </c:pt>
                <c:pt idx="18">
                  <c:v>-50.419948467780898</c:v>
                </c:pt>
                <c:pt idx="19">
                  <c:v>-50.419948467780898</c:v>
                </c:pt>
                <c:pt idx="20">
                  <c:v>-50.419948467780898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34944"/>
        <c:axId val="141677696"/>
      </c:scatterChart>
      <c:valAx>
        <c:axId val="14163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677696"/>
        <c:crosses val="autoZero"/>
        <c:crossBetween val="midCat"/>
      </c:valAx>
      <c:valAx>
        <c:axId val="14167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6349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N GI</c:v>
          </c:tx>
          <c:xVal>
            <c:numRef>
              <c:f>L.C2!$BG$122:$BG$126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xVal>
          <c:yVal>
            <c:numRef>
              <c:f>L.C2!$BH$122:$BH$126</c:f>
              <c:numCache>
                <c:formatCode>General</c:formatCode>
                <c:ptCount val="5"/>
                <c:pt idx="0">
                  <c:v>-12</c:v>
                </c:pt>
                <c:pt idx="1">
                  <c:v>-12</c:v>
                </c:pt>
                <c:pt idx="2">
                  <c:v>-12</c:v>
                </c:pt>
                <c:pt idx="3">
                  <c:v>-12</c:v>
                </c:pt>
                <c:pt idx="4">
                  <c:v>-12</c:v>
                </c:pt>
              </c:numCache>
            </c:numRef>
          </c:yVal>
          <c:smooth val="1"/>
        </c:ser>
        <c:ser>
          <c:idx val="1"/>
          <c:order val="1"/>
          <c:tx>
            <c:v>V GI</c:v>
          </c:tx>
          <c:xVal>
            <c:numRef>
              <c:f>L.C2!$BG$122:$BG$126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xVal>
          <c:yVal>
            <c:numRef>
              <c:f>L.C2!$BI$122:$BI$126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M GI</c:v>
          </c:tx>
          <c:xVal>
            <c:numRef>
              <c:f>L.C2!$BG$122:$BG$126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xVal>
          <c:yVal>
            <c:numRef>
              <c:f>L.C2!$BJ$122:$BJ$126</c:f>
              <c:numCache>
                <c:formatCode>General</c:formatCode>
                <c:ptCount val="5"/>
                <c:pt idx="0">
                  <c:v>-12</c:v>
                </c:pt>
                <c:pt idx="1">
                  <c:v>-12</c:v>
                </c:pt>
                <c:pt idx="2">
                  <c:v>-12</c:v>
                </c:pt>
                <c:pt idx="3">
                  <c:v>-12</c:v>
                </c:pt>
                <c:pt idx="4">
                  <c:v>-12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64480"/>
        <c:axId val="141766016"/>
      </c:scatterChart>
      <c:valAx>
        <c:axId val="14176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766016"/>
        <c:crosses val="autoZero"/>
        <c:crossBetween val="midCat"/>
      </c:valAx>
      <c:valAx>
        <c:axId val="14176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7644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N JI</c:v>
          </c:tx>
          <c:xVal>
            <c:numRef>
              <c:f>L.C2!$BO$122:$BO$130</c:f>
              <c:numCache>
                <c:formatCode>General</c:formatCode>
                <c:ptCount val="9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</c:numCache>
            </c:numRef>
          </c:xVal>
          <c:yVal>
            <c:numRef>
              <c:f>L.C2!$BP$122:$BP$130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V JI</c:v>
          </c:tx>
          <c:xVal>
            <c:numRef>
              <c:f>L.C2!$BO$122:$BO$130</c:f>
              <c:numCache>
                <c:formatCode>General</c:formatCode>
                <c:ptCount val="9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</c:numCache>
            </c:numRef>
          </c:xVal>
          <c:yVal>
            <c:numRef>
              <c:f>L.C2!$BQ$122:$BQ$130</c:f>
              <c:numCache>
                <c:formatCode>General</c:formatCode>
                <c:ptCount val="9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</c:numCache>
            </c:numRef>
          </c:yVal>
          <c:smooth val="1"/>
        </c:ser>
        <c:ser>
          <c:idx val="2"/>
          <c:order val="2"/>
          <c:tx>
            <c:v>M JI</c:v>
          </c:tx>
          <c:xVal>
            <c:numRef>
              <c:f>L.C2!$BO$122:$BO$130</c:f>
              <c:numCache>
                <c:formatCode>General</c:formatCode>
                <c:ptCount val="9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</c:numCache>
            </c:numRef>
          </c:xVal>
          <c:yVal>
            <c:numRef>
              <c:f>L.C2!$BR$122:$BR$130</c:f>
              <c:numCache>
                <c:formatCode>General</c:formatCode>
                <c:ptCount val="9"/>
                <c:pt idx="0">
                  <c:v>0</c:v>
                </c:pt>
                <c:pt idx="1">
                  <c:v>-0.1875</c:v>
                </c:pt>
                <c:pt idx="2">
                  <c:v>-0.75</c:v>
                </c:pt>
                <c:pt idx="3">
                  <c:v>-1.6875</c:v>
                </c:pt>
                <c:pt idx="4">
                  <c:v>-3</c:v>
                </c:pt>
                <c:pt idx="5">
                  <c:v>-4.6875</c:v>
                </c:pt>
                <c:pt idx="6">
                  <c:v>-6.75</c:v>
                </c:pt>
                <c:pt idx="7">
                  <c:v>-9.1875</c:v>
                </c:pt>
                <c:pt idx="8">
                  <c:v>-12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92000"/>
        <c:axId val="141793536"/>
      </c:scatterChart>
      <c:valAx>
        <c:axId val="14179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793536"/>
        <c:crosses val="autoZero"/>
        <c:crossBetween val="midCat"/>
      </c:valAx>
      <c:valAx>
        <c:axId val="14179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792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v>V CD</c:v>
          </c:tx>
          <c:xVal>
            <c:numRef>
              <c:f>L.C1!$AO$136:$AO$157</c:f>
              <c:numCache>
                <c:formatCode>General</c:formatCode>
                <c:ptCount val="22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L.C1!$AQ$136:$AQ$157</c:f>
              <c:numCache>
                <c:formatCode>General</c:formatCode>
                <c:ptCount val="22"/>
                <c:pt idx="0">
                  <c:v>-0.82349886532300287</c:v>
                </c:pt>
                <c:pt idx="1">
                  <c:v>-0.82349886532300287</c:v>
                </c:pt>
                <c:pt idx="2">
                  <c:v>-0.82349886532300287</c:v>
                </c:pt>
                <c:pt idx="3">
                  <c:v>-0.82349886532300287</c:v>
                </c:pt>
                <c:pt idx="4">
                  <c:v>-0.82349886532300287</c:v>
                </c:pt>
                <c:pt idx="5">
                  <c:v>-0.82349886532300287</c:v>
                </c:pt>
                <c:pt idx="6">
                  <c:v>-0.82349886532300287</c:v>
                </c:pt>
                <c:pt idx="7">
                  <c:v>-0.82349886532300287</c:v>
                </c:pt>
                <c:pt idx="8">
                  <c:v>-0.82349886532300287</c:v>
                </c:pt>
                <c:pt idx="9">
                  <c:v>-0.82349886532300287</c:v>
                </c:pt>
                <c:pt idx="10">
                  <c:v>-0.82349886532300287</c:v>
                </c:pt>
                <c:pt idx="11">
                  <c:v>-0.82349886532300287</c:v>
                </c:pt>
                <c:pt idx="12">
                  <c:v>-0.82349886532300287</c:v>
                </c:pt>
                <c:pt idx="13">
                  <c:v>-0.82349886532300287</c:v>
                </c:pt>
                <c:pt idx="14">
                  <c:v>-0.82349886532300287</c:v>
                </c:pt>
                <c:pt idx="15">
                  <c:v>-0.82349886532300287</c:v>
                </c:pt>
                <c:pt idx="16">
                  <c:v>-0.82349886532300287</c:v>
                </c:pt>
                <c:pt idx="17">
                  <c:v>-0.82349886532300287</c:v>
                </c:pt>
                <c:pt idx="18">
                  <c:v>-0.82349886532300287</c:v>
                </c:pt>
                <c:pt idx="19">
                  <c:v>-0.82349886532300287</c:v>
                </c:pt>
                <c:pt idx="20">
                  <c:v>-0.82349886532300287</c:v>
                </c:pt>
              </c:numCache>
            </c:numRef>
          </c:yVal>
          <c:smooth val="1"/>
        </c:ser>
        <c:ser>
          <c:idx val="2"/>
          <c:order val="1"/>
          <c:tx>
            <c:v>M CD</c:v>
          </c:tx>
          <c:xVal>
            <c:numRef>
              <c:f>L.C1!$AO$136:$AO$157</c:f>
              <c:numCache>
                <c:formatCode>General</c:formatCode>
                <c:ptCount val="22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L.C1!$AR$136:$AR$157</c:f>
              <c:numCache>
                <c:formatCode>General</c:formatCode>
                <c:ptCount val="22"/>
                <c:pt idx="0">
                  <c:v>0</c:v>
                </c:pt>
                <c:pt idx="1">
                  <c:v>-0.1646997730646006</c:v>
                </c:pt>
                <c:pt idx="2">
                  <c:v>-0.32939954612920119</c:v>
                </c:pt>
                <c:pt idx="3">
                  <c:v>-0.49409931919380168</c:v>
                </c:pt>
                <c:pt idx="4">
                  <c:v>-0.65879909225840239</c:v>
                </c:pt>
                <c:pt idx="5">
                  <c:v>-0.82349886532300287</c:v>
                </c:pt>
                <c:pt idx="6">
                  <c:v>-0.98819863838760336</c:v>
                </c:pt>
                <c:pt idx="7">
                  <c:v>-1.1528984114522038</c:v>
                </c:pt>
                <c:pt idx="8">
                  <c:v>-1.3175981845168048</c:v>
                </c:pt>
                <c:pt idx="9">
                  <c:v>-1.4822979575814053</c:v>
                </c:pt>
                <c:pt idx="10">
                  <c:v>-1.6469977306460057</c:v>
                </c:pt>
                <c:pt idx="11">
                  <c:v>-1.8116975037106064</c:v>
                </c:pt>
                <c:pt idx="12">
                  <c:v>-1.9763972767752067</c:v>
                </c:pt>
                <c:pt idx="13">
                  <c:v>-2.1410970498398076</c:v>
                </c:pt>
                <c:pt idx="14">
                  <c:v>-2.3057968229044077</c:v>
                </c:pt>
                <c:pt idx="15">
                  <c:v>-2.4704965959690086</c:v>
                </c:pt>
                <c:pt idx="16">
                  <c:v>-2.6351963690336095</c:v>
                </c:pt>
                <c:pt idx="17">
                  <c:v>-2.7998961420982096</c:v>
                </c:pt>
                <c:pt idx="18">
                  <c:v>-2.9645959151628105</c:v>
                </c:pt>
                <c:pt idx="19">
                  <c:v>-3.1292956882274106</c:v>
                </c:pt>
                <c:pt idx="20">
                  <c:v>-3.2939954612920115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47456"/>
        <c:axId val="140948992"/>
      </c:scatterChart>
      <c:valAx>
        <c:axId val="1409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948992"/>
        <c:crosses val="autoZero"/>
        <c:crossBetween val="midCat"/>
      </c:valAx>
      <c:valAx>
        <c:axId val="140948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9474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N CE</c:v>
          </c:tx>
          <c:xVal>
            <c:numRef>
              <c:f>L.C1!$AV$136:$AV$156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L.C1!$AW$136:$AW$156</c:f>
              <c:numCache>
                <c:formatCode>General</c:formatCode>
                <c:ptCount val="21"/>
                <c:pt idx="0">
                  <c:v>-34.353758187680064</c:v>
                </c:pt>
                <c:pt idx="1">
                  <c:v>-34.353758187680064</c:v>
                </c:pt>
                <c:pt idx="2">
                  <c:v>-34.353758187680064</c:v>
                </c:pt>
                <c:pt idx="3">
                  <c:v>-34.353758187680064</c:v>
                </c:pt>
                <c:pt idx="4">
                  <c:v>-34.353758187680064</c:v>
                </c:pt>
                <c:pt idx="5">
                  <c:v>-34.353758187680064</c:v>
                </c:pt>
                <c:pt idx="6">
                  <c:v>-34.353758187680064</c:v>
                </c:pt>
                <c:pt idx="7">
                  <c:v>-34.353758187680064</c:v>
                </c:pt>
                <c:pt idx="8">
                  <c:v>-34.353758187680064</c:v>
                </c:pt>
                <c:pt idx="9">
                  <c:v>-34.353758187680064</c:v>
                </c:pt>
                <c:pt idx="10">
                  <c:v>-34.353758187680064</c:v>
                </c:pt>
                <c:pt idx="11">
                  <c:v>-34.353758187680064</c:v>
                </c:pt>
                <c:pt idx="12">
                  <c:v>-34.353758187680064</c:v>
                </c:pt>
                <c:pt idx="13">
                  <c:v>-34.353758187680064</c:v>
                </c:pt>
                <c:pt idx="14">
                  <c:v>-34.353758187680064</c:v>
                </c:pt>
                <c:pt idx="15">
                  <c:v>-34.353758187680064</c:v>
                </c:pt>
                <c:pt idx="16">
                  <c:v>-34.353758187680064</c:v>
                </c:pt>
                <c:pt idx="17">
                  <c:v>-34.353758187680064</c:v>
                </c:pt>
                <c:pt idx="18">
                  <c:v>-34.353758187680064</c:v>
                </c:pt>
                <c:pt idx="19">
                  <c:v>-34.353758187680064</c:v>
                </c:pt>
                <c:pt idx="20">
                  <c:v>-34.353758187680064</c:v>
                </c:pt>
              </c:numCache>
            </c:numRef>
          </c:yVal>
          <c:smooth val="1"/>
        </c:ser>
        <c:ser>
          <c:idx val="1"/>
          <c:order val="1"/>
          <c:tx>
            <c:v>V CE</c:v>
          </c:tx>
          <c:xVal>
            <c:numRef>
              <c:f>L.C1!$AV$136:$AV$156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L.C1!$AX$136:$AX$156</c:f>
              <c:numCache>
                <c:formatCode>General</c:formatCode>
                <c:ptCount val="21"/>
                <c:pt idx="0">
                  <c:v>29.980220355098439</c:v>
                </c:pt>
                <c:pt idx="1">
                  <c:v>26.980220355098439</c:v>
                </c:pt>
                <c:pt idx="2">
                  <c:v>23.980220355098439</c:v>
                </c:pt>
                <c:pt idx="3">
                  <c:v>20.980220355098439</c:v>
                </c:pt>
                <c:pt idx="4">
                  <c:v>17.980220355098439</c:v>
                </c:pt>
                <c:pt idx="5">
                  <c:v>14.980220355098439</c:v>
                </c:pt>
                <c:pt idx="6">
                  <c:v>11.980220355098439</c:v>
                </c:pt>
                <c:pt idx="7">
                  <c:v>8.9802203550984387</c:v>
                </c:pt>
                <c:pt idx="8">
                  <c:v>5.9802203550984387</c:v>
                </c:pt>
                <c:pt idx="9">
                  <c:v>2.9802203550984387</c:v>
                </c:pt>
                <c:pt idx="10">
                  <c:v>-1.9779644901561255E-2</c:v>
                </c:pt>
                <c:pt idx="11">
                  <c:v>-3.0197796449015613</c:v>
                </c:pt>
                <c:pt idx="12">
                  <c:v>-6.0197796449015613</c:v>
                </c:pt>
                <c:pt idx="13">
                  <c:v>-9.0197796449015613</c:v>
                </c:pt>
                <c:pt idx="14">
                  <c:v>-12.019779644901561</c:v>
                </c:pt>
                <c:pt idx="15">
                  <c:v>-15.019779644901561</c:v>
                </c:pt>
                <c:pt idx="16">
                  <c:v>-18.019779644901561</c:v>
                </c:pt>
                <c:pt idx="17">
                  <c:v>-21.019779644901561</c:v>
                </c:pt>
                <c:pt idx="18">
                  <c:v>-24.019779644901561</c:v>
                </c:pt>
                <c:pt idx="19">
                  <c:v>-27.019779644901561</c:v>
                </c:pt>
                <c:pt idx="20">
                  <c:v>-30.019779644901561</c:v>
                </c:pt>
              </c:numCache>
            </c:numRef>
          </c:yVal>
          <c:smooth val="1"/>
        </c:ser>
        <c:ser>
          <c:idx val="2"/>
          <c:order val="2"/>
          <c:tx>
            <c:v>M CE</c:v>
          </c:tx>
          <c:xVal>
            <c:numRef>
              <c:f>L.C1!$AV$136:$AV$156</c:f>
              <c:numCache>
                <c:formatCode>General</c:formatCode>
                <c:ptCount val="2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</c:numCache>
            </c:numRef>
          </c:xVal>
          <c:yVal>
            <c:numRef>
              <c:f>L.C1!$AY$136:$AY$156</c:f>
              <c:numCache>
                <c:formatCode>General</c:formatCode>
                <c:ptCount val="21"/>
                <c:pt idx="0">
                  <c:v>-23.433732347479655</c:v>
                </c:pt>
                <c:pt idx="1">
                  <c:v>-16.313677258705045</c:v>
                </c:pt>
                <c:pt idx="2">
                  <c:v>-9.9436221699304355</c:v>
                </c:pt>
                <c:pt idx="3">
                  <c:v>-4.3235670811558258</c:v>
                </c:pt>
                <c:pt idx="4">
                  <c:v>0.54648800761878391</c:v>
                </c:pt>
                <c:pt idx="5">
                  <c:v>4.66654309639339</c:v>
                </c:pt>
                <c:pt idx="6">
                  <c:v>8.0365981851680033</c:v>
                </c:pt>
                <c:pt idx="7">
                  <c:v>10.656653273942617</c:v>
                </c:pt>
                <c:pt idx="8">
                  <c:v>12.526708362717223</c:v>
                </c:pt>
                <c:pt idx="9">
                  <c:v>13.646763451491829</c:v>
                </c:pt>
                <c:pt idx="10">
                  <c:v>14.016818540266435</c:v>
                </c:pt>
                <c:pt idx="11">
                  <c:v>13.636873629041055</c:v>
                </c:pt>
                <c:pt idx="12">
                  <c:v>12.506928717815661</c:v>
                </c:pt>
                <c:pt idx="13">
                  <c:v>10.626983806590268</c:v>
                </c:pt>
                <c:pt idx="14">
                  <c:v>7.9970388953648879</c:v>
                </c:pt>
                <c:pt idx="15">
                  <c:v>4.617093984139494</c:v>
                </c:pt>
                <c:pt idx="16">
                  <c:v>0.48714907291410015</c:v>
                </c:pt>
                <c:pt idx="17">
                  <c:v>-4.3927958383112937</c:v>
                </c:pt>
                <c:pt idx="18">
                  <c:v>-10.022740749536688</c:v>
                </c:pt>
                <c:pt idx="19">
                  <c:v>-16.402685660762067</c:v>
                </c:pt>
                <c:pt idx="20">
                  <c:v>-23.532630571987475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582272"/>
        <c:axId val="140584064"/>
      </c:scatterChart>
      <c:valAx>
        <c:axId val="14058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584064"/>
        <c:crosses val="autoZero"/>
        <c:crossBetween val="midCat"/>
      </c:valAx>
      <c:valAx>
        <c:axId val="14058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5822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v>V EF</c:v>
          </c:tx>
          <c:xVal>
            <c:numRef>
              <c:f>L.C1!$BC$136:$BC$156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L.C1!$BE$136:$BE$156</c:f>
              <c:numCache>
                <c:formatCode>General</c:formatCode>
                <c:ptCount val="21"/>
                <c:pt idx="0">
                  <c:v>0.59790381257844571</c:v>
                </c:pt>
                <c:pt idx="1">
                  <c:v>0.59790381257844571</c:v>
                </c:pt>
                <c:pt idx="2">
                  <c:v>0.59790381257844571</c:v>
                </c:pt>
                <c:pt idx="3">
                  <c:v>0.59790381257844571</c:v>
                </c:pt>
                <c:pt idx="4">
                  <c:v>0.59790381257844571</c:v>
                </c:pt>
                <c:pt idx="5">
                  <c:v>0.59790381257844571</c:v>
                </c:pt>
                <c:pt idx="6">
                  <c:v>0.59790381257844571</c:v>
                </c:pt>
                <c:pt idx="7">
                  <c:v>0.59790381257844571</c:v>
                </c:pt>
                <c:pt idx="8">
                  <c:v>0.59790381257844571</c:v>
                </c:pt>
                <c:pt idx="9">
                  <c:v>0.59790381257844571</c:v>
                </c:pt>
                <c:pt idx="10">
                  <c:v>0.59790381257844571</c:v>
                </c:pt>
                <c:pt idx="11">
                  <c:v>0.59790381257844571</c:v>
                </c:pt>
                <c:pt idx="12">
                  <c:v>0.59790381257844571</c:v>
                </c:pt>
                <c:pt idx="13">
                  <c:v>0.59790381257844571</c:v>
                </c:pt>
                <c:pt idx="14">
                  <c:v>0.59790381257844571</c:v>
                </c:pt>
                <c:pt idx="15">
                  <c:v>0.59790381257844571</c:v>
                </c:pt>
                <c:pt idx="16">
                  <c:v>0.59790381257844571</c:v>
                </c:pt>
                <c:pt idx="17">
                  <c:v>0.59790381257844571</c:v>
                </c:pt>
                <c:pt idx="18">
                  <c:v>0.59790381257844571</c:v>
                </c:pt>
                <c:pt idx="19">
                  <c:v>0.59790381257844571</c:v>
                </c:pt>
                <c:pt idx="20">
                  <c:v>0.59790381257844571</c:v>
                </c:pt>
              </c:numCache>
            </c:numRef>
          </c:yVal>
          <c:smooth val="1"/>
        </c:ser>
        <c:ser>
          <c:idx val="2"/>
          <c:order val="1"/>
          <c:tx>
            <c:v>M EF</c:v>
          </c:tx>
          <c:xVal>
            <c:numRef>
              <c:f>L.C1!$BC$136:$BC$156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L.C1!$BF$136:$BF$156</c:f>
              <c:numCache>
                <c:formatCode>General</c:formatCode>
                <c:ptCount val="21"/>
                <c:pt idx="0">
                  <c:v>0</c:v>
                </c:pt>
                <c:pt idx="1">
                  <c:v>0.11958076251568915</c:v>
                </c:pt>
                <c:pt idx="2">
                  <c:v>0.2391615250313783</c:v>
                </c:pt>
                <c:pt idx="3">
                  <c:v>0.35874228754706744</c:v>
                </c:pt>
                <c:pt idx="4">
                  <c:v>0.47832305006275661</c:v>
                </c:pt>
                <c:pt idx="5">
                  <c:v>0.59790381257844571</c:v>
                </c:pt>
                <c:pt idx="6">
                  <c:v>0.71748457509413488</c:v>
                </c:pt>
                <c:pt idx="7">
                  <c:v>0.83706533760982393</c:v>
                </c:pt>
                <c:pt idx="8">
                  <c:v>0.95664610012551321</c:v>
                </c:pt>
                <c:pt idx="9">
                  <c:v>1.0762268626412024</c:v>
                </c:pt>
                <c:pt idx="10">
                  <c:v>1.1958076251568914</c:v>
                </c:pt>
                <c:pt idx="11">
                  <c:v>1.3153883876725807</c:v>
                </c:pt>
                <c:pt idx="12">
                  <c:v>1.4349691501882698</c:v>
                </c:pt>
                <c:pt idx="13">
                  <c:v>1.5545499127039588</c:v>
                </c:pt>
                <c:pt idx="14">
                  <c:v>1.6741306752196479</c:v>
                </c:pt>
                <c:pt idx="15">
                  <c:v>1.7937114377353371</c:v>
                </c:pt>
                <c:pt idx="16">
                  <c:v>1.9132922002510264</c:v>
                </c:pt>
                <c:pt idx="17">
                  <c:v>2.0328729627667155</c:v>
                </c:pt>
                <c:pt idx="18">
                  <c:v>2.1524537252824048</c:v>
                </c:pt>
                <c:pt idx="19">
                  <c:v>2.2720344877980936</c:v>
                </c:pt>
                <c:pt idx="20">
                  <c:v>2.3916152503137829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10176"/>
        <c:axId val="140616064"/>
      </c:scatterChart>
      <c:valAx>
        <c:axId val="14061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616064"/>
        <c:crosses val="autoZero"/>
        <c:crossBetween val="midCat"/>
      </c:valAx>
      <c:valAx>
        <c:axId val="140616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6101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N EG</c:v>
          </c:tx>
          <c:xVal>
            <c:numRef>
              <c:f>L.C1!$BJ$136:$BJ$156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L.C1!$BK$136:$BK$156</c:f>
              <c:numCache>
                <c:formatCode>General</c:formatCode>
                <c:ptCount val="21"/>
                <c:pt idx="0">
                  <c:v>-33.75585437510162</c:v>
                </c:pt>
                <c:pt idx="1">
                  <c:v>-33.75585437510162</c:v>
                </c:pt>
                <c:pt idx="2">
                  <c:v>-33.75585437510162</c:v>
                </c:pt>
                <c:pt idx="3">
                  <c:v>-33.75585437510162</c:v>
                </c:pt>
                <c:pt idx="4">
                  <c:v>-33.75585437510162</c:v>
                </c:pt>
                <c:pt idx="5">
                  <c:v>-33.75585437510162</c:v>
                </c:pt>
                <c:pt idx="6">
                  <c:v>-33.75585437510162</c:v>
                </c:pt>
                <c:pt idx="7">
                  <c:v>-33.75585437510162</c:v>
                </c:pt>
                <c:pt idx="8">
                  <c:v>-33.75585437510162</c:v>
                </c:pt>
                <c:pt idx="9">
                  <c:v>-33.75585437510162</c:v>
                </c:pt>
                <c:pt idx="10">
                  <c:v>-33.75585437510162</c:v>
                </c:pt>
                <c:pt idx="11">
                  <c:v>-33.75585437510162</c:v>
                </c:pt>
                <c:pt idx="12">
                  <c:v>-33.75585437510162</c:v>
                </c:pt>
                <c:pt idx="13">
                  <c:v>-33.75585437510162</c:v>
                </c:pt>
                <c:pt idx="14">
                  <c:v>-33.75585437510162</c:v>
                </c:pt>
                <c:pt idx="15">
                  <c:v>-33.75585437510162</c:v>
                </c:pt>
                <c:pt idx="16">
                  <c:v>-33.75585437510162</c:v>
                </c:pt>
                <c:pt idx="17">
                  <c:v>-33.75585437510162</c:v>
                </c:pt>
                <c:pt idx="18">
                  <c:v>-33.75585437510162</c:v>
                </c:pt>
                <c:pt idx="19">
                  <c:v>-33.75585437510162</c:v>
                </c:pt>
                <c:pt idx="20">
                  <c:v>-33.75585437510162</c:v>
                </c:pt>
              </c:numCache>
            </c:numRef>
          </c:yVal>
          <c:smooth val="1"/>
        </c:ser>
        <c:ser>
          <c:idx val="1"/>
          <c:order val="1"/>
          <c:tx>
            <c:v>V EG</c:v>
          </c:tx>
          <c:xVal>
            <c:numRef>
              <c:f>L.C1!$BJ$136:$BJ$156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L.C1!$BL$136:$BL$156</c:f>
              <c:numCache>
                <c:formatCode>General</c:formatCode>
                <c:ptCount val="21"/>
                <c:pt idx="0">
                  <c:v>26.239150387422271</c:v>
                </c:pt>
                <c:pt idx="1">
                  <c:v>23.839150387422272</c:v>
                </c:pt>
                <c:pt idx="2">
                  <c:v>21.43915038742227</c:v>
                </c:pt>
                <c:pt idx="3">
                  <c:v>19.039150387422271</c:v>
                </c:pt>
                <c:pt idx="4">
                  <c:v>16.639150387422269</c:v>
                </c:pt>
                <c:pt idx="5">
                  <c:v>14.239150387422271</c:v>
                </c:pt>
                <c:pt idx="6">
                  <c:v>11.839150387422272</c:v>
                </c:pt>
                <c:pt idx="7">
                  <c:v>9.4391503874222735</c:v>
                </c:pt>
                <c:pt idx="8">
                  <c:v>7.0391503874222678</c:v>
                </c:pt>
                <c:pt idx="9">
                  <c:v>4.6391503874222693</c:v>
                </c:pt>
                <c:pt idx="10">
                  <c:v>2.2391503874222707</c:v>
                </c:pt>
                <c:pt idx="11">
                  <c:v>-0.16084961257773145</c:v>
                </c:pt>
                <c:pt idx="12">
                  <c:v>-2.5608496125777265</c:v>
                </c:pt>
                <c:pt idx="13">
                  <c:v>-4.9608496125777322</c:v>
                </c:pt>
                <c:pt idx="14">
                  <c:v>-7.3608496125777236</c:v>
                </c:pt>
                <c:pt idx="15">
                  <c:v>-9.7608496125777293</c:v>
                </c:pt>
                <c:pt idx="16">
                  <c:v>-12.160849612577735</c:v>
                </c:pt>
                <c:pt idx="17">
                  <c:v>-14.560849612577726</c:v>
                </c:pt>
                <c:pt idx="18">
                  <c:v>-16.960849612577732</c:v>
                </c:pt>
                <c:pt idx="19">
                  <c:v>-19.360849612577724</c:v>
                </c:pt>
                <c:pt idx="20">
                  <c:v>-21.760849612577729</c:v>
                </c:pt>
              </c:numCache>
            </c:numRef>
          </c:yVal>
          <c:smooth val="1"/>
        </c:ser>
        <c:ser>
          <c:idx val="2"/>
          <c:order val="2"/>
          <c:tx>
            <c:v>M EG</c:v>
          </c:tx>
          <c:xVal>
            <c:numRef>
              <c:f>L.C1!$BJ$136:$BJ$156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L.C1!$BM$136:$BM$156</c:f>
              <c:numCache>
                <c:formatCode>General</c:formatCode>
                <c:ptCount val="21"/>
                <c:pt idx="0">
                  <c:v>-21.141015321673674</c:v>
                </c:pt>
                <c:pt idx="1">
                  <c:v>-16.133185244189217</c:v>
                </c:pt>
                <c:pt idx="2">
                  <c:v>-11.605355166704765</c:v>
                </c:pt>
                <c:pt idx="3">
                  <c:v>-7.557525089220313</c:v>
                </c:pt>
                <c:pt idx="4">
                  <c:v>-3.9896950117358552</c:v>
                </c:pt>
                <c:pt idx="5">
                  <c:v>-0.90186493425140313</c:v>
                </c:pt>
                <c:pt idx="6">
                  <c:v>1.7059651432330476</c:v>
                </c:pt>
                <c:pt idx="7">
                  <c:v>3.8337952207175015</c:v>
                </c:pt>
                <c:pt idx="8">
                  <c:v>5.481625298201962</c:v>
                </c:pt>
                <c:pt idx="9">
                  <c:v>6.649455375686415</c:v>
                </c:pt>
                <c:pt idx="10">
                  <c:v>7.3372854531708676</c:v>
                </c:pt>
                <c:pt idx="11">
                  <c:v>7.5451155306553233</c:v>
                </c:pt>
                <c:pt idx="12">
                  <c:v>7.2729456081397643</c:v>
                </c:pt>
                <c:pt idx="13">
                  <c:v>6.5207756856242298</c:v>
                </c:pt>
                <c:pt idx="14">
                  <c:v>5.2886057631086771</c:v>
                </c:pt>
                <c:pt idx="15">
                  <c:v>3.5764358405931347</c:v>
                </c:pt>
                <c:pt idx="16">
                  <c:v>1.3842659180775883</c:v>
                </c:pt>
                <c:pt idx="17">
                  <c:v>-1.2879040044379479</c:v>
                </c:pt>
                <c:pt idx="18">
                  <c:v>-4.4400739269535023</c:v>
                </c:pt>
                <c:pt idx="19">
                  <c:v>-8.0722438494690607</c:v>
                </c:pt>
                <c:pt idx="20">
                  <c:v>-12.184413771984595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36928"/>
        <c:axId val="140638464"/>
      </c:scatterChart>
      <c:valAx>
        <c:axId val="1406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638464"/>
        <c:crosses val="autoZero"/>
        <c:crossBetween val="midCat"/>
      </c:valAx>
      <c:valAx>
        <c:axId val="140638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6369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3"/>
          <c:order val="0"/>
          <c:tx>
            <c:v>V GH</c:v>
          </c:tx>
          <c:xVal>
            <c:numRef>
              <c:f>L.C1!$BP$136:$BP$156</c:f>
              <c:numCache>
                <c:formatCode>General</c:formatCode>
                <c:ptCount val="21"/>
                <c:pt idx="0">
                  <c:v>5.6568542494923806</c:v>
                </c:pt>
                <c:pt idx="1">
                  <c:v>5.3740115370177612</c:v>
                </c:pt>
                <c:pt idx="2">
                  <c:v>5.0911688245431428</c:v>
                </c:pt>
                <c:pt idx="3">
                  <c:v>4.8083261120685235</c:v>
                </c:pt>
                <c:pt idx="4">
                  <c:v>4.5254833995939041</c:v>
                </c:pt>
                <c:pt idx="5">
                  <c:v>4.2426406871192857</c:v>
                </c:pt>
                <c:pt idx="6">
                  <c:v>3.9597979746446663</c:v>
                </c:pt>
                <c:pt idx="7">
                  <c:v>3.6769552621700474</c:v>
                </c:pt>
                <c:pt idx="8">
                  <c:v>3.3941125496954285</c:v>
                </c:pt>
                <c:pt idx="9">
                  <c:v>3.1112698372208092</c:v>
                </c:pt>
                <c:pt idx="10">
                  <c:v>2.8284271247461903</c:v>
                </c:pt>
                <c:pt idx="11">
                  <c:v>2.5455844122715714</c:v>
                </c:pt>
                <c:pt idx="12">
                  <c:v>2.2627416997969521</c:v>
                </c:pt>
                <c:pt idx="13">
                  <c:v>1.9798989873223327</c:v>
                </c:pt>
                <c:pt idx="14">
                  <c:v>1.6970562748477143</c:v>
                </c:pt>
                <c:pt idx="15">
                  <c:v>1.4142135623730949</c:v>
                </c:pt>
                <c:pt idx="16">
                  <c:v>1.1313708498984765</c:v>
                </c:pt>
                <c:pt idx="17">
                  <c:v>0.84852813742385713</c:v>
                </c:pt>
                <c:pt idx="18">
                  <c:v>0.56568542494923779</c:v>
                </c:pt>
                <c:pt idx="19">
                  <c:v>0.28284271247461934</c:v>
                </c:pt>
                <c:pt idx="20">
                  <c:v>0</c:v>
                </c:pt>
              </c:numCache>
            </c:numRef>
          </c:xVal>
          <c:yVal>
            <c:numRef>
              <c:f>L.C1!$BT$136:$BT$156</c:f>
              <c:numCache>
                <c:formatCode>General</c:formatCode>
                <c:ptCount val="21"/>
                <c:pt idx="0">
                  <c:v>-3.5321662929987951E-3</c:v>
                </c:pt>
                <c:pt idx="1">
                  <c:v>-3.5321662929987951E-3</c:v>
                </c:pt>
                <c:pt idx="2">
                  <c:v>-3.5321662929987951E-3</c:v>
                </c:pt>
                <c:pt idx="3">
                  <c:v>-3.5321662929987951E-3</c:v>
                </c:pt>
                <c:pt idx="4">
                  <c:v>-3.5321662929987951E-3</c:v>
                </c:pt>
                <c:pt idx="5">
                  <c:v>-3.5321662929987951E-3</c:v>
                </c:pt>
                <c:pt idx="6">
                  <c:v>-3.5321662929987951E-3</c:v>
                </c:pt>
                <c:pt idx="7">
                  <c:v>-3.5321662929987951E-3</c:v>
                </c:pt>
                <c:pt idx="8">
                  <c:v>-3.5321662929987951E-3</c:v>
                </c:pt>
                <c:pt idx="9">
                  <c:v>-3.5321662929987951E-3</c:v>
                </c:pt>
                <c:pt idx="10">
                  <c:v>-3.5321662929987951E-3</c:v>
                </c:pt>
                <c:pt idx="11">
                  <c:v>-3.5321662929987951E-3</c:v>
                </c:pt>
                <c:pt idx="12">
                  <c:v>-3.5321662929987951E-3</c:v>
                </c:pt>
                <c:pt idx="13">
                  <c:v>-3.5321662929987951E-3</c:v>
                </c:pt>
                <c:pt idx="14">
                  <c:v>-3.5321662929987951E-3</c:v>
                </c:pt>
                <c:pt idx="15">
                  <c:v>-3.5321662929987951E-3</c:v>
                </c:pt>
                <c:pt idx="16">
                  <c:v>-3.5321662929987951E-3</c:v>
                </c:pt>
                <c:pt idx="17">
                  <c:v>-3.5321662929987951E-3</c:v>
                </c:pt>
                <c:pt idx="18">
                  <c:v>-3.5321662929987951E-3</c:v>
                </c:pt>
                <c:pt idx="19">
                  <c:v>-3.5321662929987951E-3</c:v>
                </c:pt>
                <c:pt idx="20">
                  <c:v>-3.5321662929987951E-3</c:v>
                </c:pt>
              </c:numCache>
            </c:numRef>
          </c:yVal>
          <c:smooth val="1"/>
        </c:ser>
        <c:ser>
          <c:idx val="4"/>
          <c:order val="1"/>
          <c:tx>
            <c:v>M GH</c:v>
          </c:tx>
          <c:xVal>
            <c:numRef>
              <c:f>L.C1!$BP$136:$BP$156</c:f>
              <c:numCache>
                <c:formatCode>General</c:formatCode>
                <c:ptCount val="21"/>
                <c:pt idx="0">
                  <c:v>5.6568542494923806</c:v>
                </c:pt>
                <c:pt idx="1">
                  <c:v>5.3740115370177612</c:v>
                </c:pt>
                <c:pt idx="2">
                  <c:v>5.0911688245431428</c:v>
                </c:pt>
                <c:pt idx="3">
                  <c:v>4.8083261120685235</c:v>
                </c:pt>
                <c:pt idx="4">
                  <c:v>4.5254833995939041</c:v>
                </c:pt>
                <c:pt idx="5">
                  <c:v>4.2426406871192857</c:v>
                </c:pt>
                <c:pt idx="6">
                  <c:v>3.9597979746446663</c:v>
                </c:pt>
                <c:pt idx="7">
                  <c:v>3.6769552621700474</c:v>
                </c:pt>
                <c:pt idx="8">
                  <c:v>3.3941125496954285</c:v>
                </c:pt>
                <c:pt idx="9">
                  <c:v>3.1112698372208092</c:v>
                </c:pt>
                <c:pt idx="10">
                  <c:v>2.8284271247461903</c:v>
                </c:pt>
                <c:pt idx="11">
                  <c:v>2.5455844122715714</c:v>
                </c:pt>
                <c:pt idx="12">
                  <c:v>2.2627416997969521</c:v>
                </c:pt>
                <c:pt idx="13">
                  <c:v>1.9798989873223327</c:v>
                </c:pt>
                <c:pt idx="14">
                  <c:v>1.6970562748477143</c:v>
                </c:pt>
                <c:pt idx="15">
                  <c:v>1.4142135623730949</c:v>
                </c:pt>
                <c:pt idx="16">
                  <c:v>1.1313708498984765</c:v>
                </c:pt>
                <c:pt idx="17">
                  <c:v>0.84852813742385713</c:v>
                </c:pt>
                <c:pt idx="18">
                  <c:v>0.56568542494923779</c:v>
                </c:pt>
                <c:pt idx="19">
                  <c:v>0.28284271247461934</c:v>
                </c:pt>
                <c:pt idx="20">
                  <c:v>0</c:v>
                </c:pt>
              </c:numCache>
            </c:numRef>
          </c:xVal>
          <c:yVal>
            <c:numRef>
              <c:f>L.C1!$BU$136:$BU$156</c:f>
              <c:numCache>
                <c:formatCode>General</c:formatCode>
                <c:ptCount val="21"/>
                <c:pt idx="0">
                  <c:v>-0.20439472188906183</c:v>
                </c:pt>
                <c:pt idx="1">
                  <c:v>-0.20339567439383863</c:v>
                </c:pt>
                <c:pt idx="2">
                  <c:v>-0.20239662689861543</c:v>
                </c:pt>
                <c:pt idx="3">
                  <c:v>-0.20139757940339223</c:v>
                </c:pt>
                <c:pt idx="4">
                  <c:v>-0.20039853190816903</c:v>
                </c:pt>
                <c:pt idx="5">
                  <c:v>-0.19939948441294583</c:v>
                </c:pt>
                <c:pt idx="6">
                  <c:v>-0.19840043691772263</c:v>
                </c:pt>
                <c:pt idx="7">
                  <c:v>-0.19740138942249943</c:v>
                </c:pt>
                <c:pt idx="8">
                  <c:v>-0.19640234192727624</c:v>
                </c:pt>
                <c:pt idx="9">
                  <c:v>-0.19540329443205304</c:v>
                </c:pt>
                <c:pt idx="10">
                  <c:v>-0.19440424693682984</c:v>
                </c:pt>
                <c:pt idx="11">
                  <c:v>-0.19340519944160664</c:v>
                </c:pt>
                <c:pt idx="12">
                  <c:v>-0.19240615194638344</c:v>
                </c:pt>
                <c:pt idx="13">
                  <c:v>-0.19140710445116024</c:v>
                </c:pt>
                <c:pt idx="14">
                  <c:v>-0.19040805695593704</c:v>
                </c:pt>
                <c:pt idx="15">
                  <c:v>-0.18940900946071385</c:v>
                </c:pt>
                <c:pt idx="16">
                  <c:v>-0.18840996196549065</c:v>
                </c:pt>
                <c:pt idx="17">
                  <c:v>-0.18741091447026745</c:v>
                </c:pt>
                <c:pt idx="18">
                  <c:v>-0.18641186697504425</c:v>
                </c:pt>
                <c:pt idx="19">
                  <c:v>-0.18541281947982105</c:v>
                </c:pt>
                <c:pt idx="20">
                  <c:v>-0.18441377198459785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27808"/>
        <c:axId val="140729344"/>
      </c:scatterChart>
      <c:valAx>
        <c:axId val="14072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729344"/>
        <c:crosses val="autoZero"/>
        <c:crossBetween val="midCat"/>
      </c:valAx>
      <c:valAx>
        <c:axId val="14072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278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N GI</c:v>
          </c:tx>
          <c:xVal>
            <c:numRef>
              <c:f>L.C1!$BJ$122:$BJ$126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xVal>
          <c:yVal>
            <c:numRef>
              <c:f>L.C1!$BK$122:$BK$126</c:f>
              <c:numCache>
                <c:formatCode>General</c:formatCode>
                <c:ptCount val="5"/>
                <c:pt idx="0">
                  <c:v>-12</c:v>
                </c:pt>
                <c:pt idx="1">
                  <c:v>-12</c:v>
                </c:pt>
                <c:pt idx="2">
                  <c:v>-12</c:v>
                </c:pt>
                <c:pt idx="3">
                  <c:v>-12</c:v>
                </c:pt>
                <c:pt idx="4">
                  <c:v>-12</c:v>
                </c:pt>
              </c:numCache>
            </c:numRef>
          </c:yVal>
          <c:smooth val="1"/>
        </c:ser>
        <c:ser>
          <c:idx val="1"/>
          <c:order val="1"/>
          <c:tx>
            <c:v>V GI</c:v>
          </c:tx>
          <c:xVal>
            <c:numRef>
              <c:f>L.C1!$BJ$122:$BJ$126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xVal>
          <c:yVal>
            <c:numRef>
              <c:f>L.C1!$BL$122:$BL$126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M GI</c:v>
          </c:tx>
          <c:xVal>
            <c:numRef>
              <c:f>L.C1!$BJ$122:$BJ$126</c:f>
              <c:numCache>
                <c:formatCode>General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xVal>
          <c:yVal>
            <c:numRef>
              <c:f>L.C1!$BM$122:$BM$126</c:f>
              <c:numCache>
                <c:formatCode>General</c:formatCode>
                <c:ptCount val="5"/>
                <c:pt idx="0">
                  <c:v>-12</c:v>
                </c:pt>
                <c:pt idx="1">
                  <c:v>-12</c:v>
                </c:pt>
                <c:pt idx="2">
                  <c:v>-12</c:v>
                </c:pt>
                <c:pt idx="3">
                  <c:v>-12</c:v>
                </c:pt>
                <c:pt idx="4">
                  <c:v>-12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61728"/>
        <c:axId val="140771712"/>
      </c:scatterChart>
      <c:valAx>
        <c:axId val="1407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771712"/>
        <c:crosses val="autoZero"/>
        <c:crossBetween val="midCat"/>
      </c:valAx>
      <c:valAx>
        <c:axId val="14077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61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N JI</c:v>
          </c:tx>
          <c:xVal>
            <c:numRef>
              <c:f>L.C1!$BR$122:$BR$130</c:f>
              <c:numCache>
                <c:formatCode>General</c:formatCode>
                <c:ptCount val="9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</c:numCache>
            </c:numRef>
          </c:xVal>
          <c:yVal>
            <c:numRef>
              <c:f>L.C1!$BS$122:$BS$130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V JI</c:v>
          </c:tx>
          <c:xVal>
            <c:numRef>
              <c:f>L.C1!$BR$122:$BR$130</c:f>
              <c:numCache>
                <c:formatCode>General</c:formatCode>
                <c:ptCount val="9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</c:numCache>
            </c:numRef>
          </c:xVal>
          <c:yVal>
            <c:numRef>
              <c:f>L.C1!$BT$122:$BT$130</c:f>
              <c:numCache>
                <c:formatCode>General</c:formatCode>
                <c:ptCount val="9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</c:numCache>
            </c:numRef>
          </c:yVal>
          <c:smooth val="1"/>
        </c:ser>
        <c:ser>
          <c:idx val="2"/>
          <c:order val="2"/>
          <c:tx>
            <c:v>M JI</c:v>
          </c:tx>
          <c:xVal>
            <c:numRef>
              <c:f>L.C1!$BR$122:$BR$130</c:f>
              <c:numCache>
                <c:formatCode>General</c:formatCode>
                <c:ptCount val="9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</c:numCache>
            </c:numRef>
          </c:xVal>
          <c:yVal>
            <c:numRef>
              <c:f>L.C1!$BU$122:$BU$130</c:f>
              <c:numCache>
                <c:formatCode>General</c:formatCode>
                <c:ptCount val="9"/>
                <c:pt idx="0">
                  <c:v>0</c:v>
                </c:pt>
                <c:pt idx="1">
                  <c:v>2.8125</c:v>
                </c:pt>
                <c:pt idx="2">
                  <c:v>5.25</c:v>
                </c:pt>
                <c:pt idx="3">
                  <c:v>7.3125</c:v>
                </c:pt>
                <c:pt idx="4">
                  <c:v>9</c:v>
                </c:pt>
                <c:pt idx="5">
                  <c:v>10.3125</c:v>
                </c:pt>
                <c:pt idx="6">
                  <c:v>11.25</c:v>
                </c:pt>
                <c:pt idx="7">
                  <c:v>11.8125</c:v>
                </c:pt>
                <c:pt idx="8">
                  <c:v>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01152"/>
        <c:axId val="140802688"/>
      </c:scatterChart>
      <c:valAx>
        <c:axId val="14080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802688"/>
        <c:crosses val="autoZero"/>
        <c:crossBetween val="midCat"/>
      </c:valAx>
      <c:valAx>
        <c:axId val="14080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8011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image" Target="../media/image2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image" Target="../media/image1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33130</xdr:colOff>
      <xdr:row>19</xdr:row>
      <xdr:rowOff>64051</xdr:rowOff>
    </xdr:from>
    <xdr:to>
      <xdr:col>12</xdr:col>
      <xdr:colOff>132521</xdr:colOff>
      <xdr:row>32</xdr:row>
      <xdr:rowOff>4969</xdr:rowOff>
    </xdr:to>
    <xdr:graphicFrame macro="">
      <xdr:nvGraphicFramePr>
        <xdr:cNvPr id="3" name="Chart 2" title="Member AB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157369</xdr:colOff>
      <xdr:row>19</xdr:row>
      <xdr:rowOff>50246</xdr:rowOff>
    </xdr:from>
    <xdr:to>
      <xdr:col>19</xdr:col>
      <xdr:colOff>477630</xdr:colOff>
      <xdr:row>31</xdr:row>
      <xdr:rowOff>184425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474869</xdr:colOff>
      <xdr:row>19</xdr:row>
      <xdr:rowOff>50246</xdr:rowOff>
    </xdr:from>
    <xdr:to>
      <xdr:col>27</xdr:col>
      <xdr:colOff>187739</xdr:colOff>
      <xdr:row>31</xdr:row>
      <xdr:rowOff>184425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184979</xdr:colOff>
      <xdr:row>19</xdr:row>
      <xdr:rowOff>36442</xdr:rowOff>
    </xdr:from>
    <xdr:to>
      <xdr:col>34</xdr:col>
      <xdr:colOff>505240</xdr:colOff>
      <xdr:row>31</xdr:row>
      <xdr:rowOff>170621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474869</xdr:colOff>
      <xdr:row>19</xdr:row>
      <xdr:rowOff>36443</xdr:rowOff>
    </xdr:from>
    <xdr:to>
      <xdr:col>42</xdr:col>
      <xdr:colOff>187738</xdr:colOff>
      <xdr:row>31</xdr:row>
      <xdr:rowOff>170622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171174</xdr:colOff>
      <xdr:row>19</xdr:row>
      <xdr:rowOff>36443</xdr:rowOff>
    </xdr:from>
    <xdr:to>
      <xdr:col>49</xdr:col>
      <xdr:colOff>491435</xdr:colOff>
      <xdr:row>31</xdr:row>
      <xdr:rowOff>170622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474870</xdr:colOff>
      <xdr:row>12</xdr:row>
      <xdr:rowOff>138044</xdr:rowOff>
    </xdr:from>
    <xdr:to>
      <xdr:col>57</xdr:col>
      <xdr:colOff>187740</xdr:colOff>
      <xdr:row>29</xdr:row>
      <xdr:rowOff>13804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57</xdr:col>
      <xdr:colOff>198784</xdr:colOff>
      <xdr:row>18</xdr:row>
      <xdr:rowOff>160682</xdr:rowOff>
    </xdr:from>
    <xdr:to>
      <xdr:col>64</xdr:col>
      <xdr:colOff>519045</xdr:colOff>
      <xdr:row>31</xdr:row>
      <xdr:rowOff>60187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64</xdr:col>
      <xdr:colOff>530087</xdr:colOff>
      <xdr:row>18</xdr:row>
      <xdr:rowOff>174486</xdr:rowOff>
    </xdr:from>
    <xdr:to>
      <xdr:col>72</xdr:col>
      <xdr:colOff>242956</xdr:colOff>
      <xdr:row>31</xdr:row>
      <xdr:rowOff>73991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49</xdr:col>
      <xdr:colOff>543891</xdr:colOff>
      <xdr:row>29</xdr:row>
      <xdr:rowOff>36443</xdr:rowOff>
    </xdr:from>
    <xdr:to>
      <xdr:col>57</xdr:col>
      <xdr:colOff>256761</xdr:colOff>
      <xdr:row>43</xdr:row>
      <xdr:rowOff>73991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447261</xdr:colOff>
      <xdr:row>31</xdr:row>
      <xdr:rowOff>146879</xdr:rowOff>
    </xdr:from>
    <xdr:to>
      <xdr:col>42</xdr:col>
      <xdr:colOff>160130</xdr:colOff>
      <xdr:row>45</xdr:row>
      <xdr:rowOff>184427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461064</xdr:colOff>
      <xdr:row>31</xdr:row>
      <xdr:rowOff>174488</xdr:rowOff>
    </xdr:from>
    <xdr:to>
      <xdr:col>27</xdr:col>
      <xdr:colOff>173934</xdr:colOff>
      <xdr:row>46</xdr:row>
      <xdr:rowOff>18775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115955</xdr:colOff>
      <xdr:row>64</xdr:row>
      <xdr:rowOff>77856</xdr:rowOff>
    </xdr:from>
    <xdr:to>
      <xdr:col>12</xdr:col>
      <xdr:colOff>215346</xdr:colOff>
      <xdr:row>77</xdr:row>
      <xdr:rowOff>18773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226392</xdr:colOff>
      <xdr:row>64</xdr:row>
      <xdr:rowOff>77857</xdr:rowOff>
    </xdr:from>
    <xdr:to>
      <xdr:col>19</xdr:col>
      <xdr:colOff>546653</xdr:colOff>
      <xdr:row>77</xdr:row>
      <xdr:rowOff>18774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530087</xdr:colOff>
      <xdr:row>64</xdr:row>
      <xdr:rowOff>91662</xdr:rowOff>
    </xdr:from>
    <xdr:to>
      <xdr:col>27</xdr:col>
      <xdr:colOff>242957</xdr:colOff>
      <xdr:row>77</xdr:row>
      <xdr:rowOff>32579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27</xdr:col>
      <xdr:colOff>226391</xdr:colOff>
      <xdr:row>64</xdr:row>
      <xdr:rowOff>91661</xdr:rowOff>
    </xdr:from>
    <xdr:to>
      <xdr:col>34</xdr:col>
      <xdr:colOff>546652</xdr:colOff>
      <xdr:row>77</xdr:row>
      <xdr:rowOff>32578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34</xdr:col>
      <xdr:colOff>557696</xdr:colOff>
      <xdr:row>64</xdr:row>
      <xdr:rowOff>105465</xdr:rowOff>
    </xdr:from>
    <xdr:to>
      <xdr:col>42</xdr:col>
      <xdr:colOff>270565</xdr:colOff>
      <xdr:row>77</xdr:row>
      <xdr:rowOff>46382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253999</xdr:colOff>
      <xdr:row>64</xdr:row>
      <xdr:rowOff>133074</xdr:rowOff>
    </xdr:from>
    <xdr:to>
      <xdr:col>49</xdr:col>
      <xdr:colOff>574260</xdr:colOff>
      <xdr:row>77</xdr:row>
      <xdr:rowOff>73991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49</xdr:col>
      <xdr:colOff>585305</xdr:colOff>
      <xdr:row>64</xdr:row>
      <xdr:rowOff>146878</xdr:rowOff>
    </xdr:from>
    <xdr:to>
      <xdr:col>57</xdr:col>
      <xdr:colOff>298175</xdr:colOff>
      <xdr:row>77</xdr:row>
      <xdr:rowOff>87795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516284</xdr:colOff>
      <xdr:row>77</xdr:row>
      <xdr:rowOff>22639</xdr:rowOff>
    </xdr:from>
    <xdr:to>
      <xdr:col>42</xdr:col>
      <xdr:colOff>229153</xdr:colOff>
      <xdr:row>91</xdr:row>
      <xdr:rowOff>60187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516282</xdr:colOff>
      <xdr:row>76</xdr:row>
      <xdr:rowOff>188291</xdr:rowOff>
    </xdr:from>
    <xdr:to>
      <xdr:col>27</xdr:col>
      <xdr:colOff>229152</xdr:colOff>
      <xdr:row>91</xdr:row>
      <xdr:rowOff>32578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57</xdr:col>
      <xdr:colOff>295413</xdr:colOff>
      <xdr:row>64</xdr:row>
      <xdr:rowOff>160683</xdr:rowOff>
    </xdr:from>
    <xdr:to>
      <xdr:col>65</xdr:col>
      <xdr:colOff>8282</xdr:colOff>
      <xdr:row>77</xdr:row>
      <xdr:rowOff>101600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65</xdr:col>
      <xdr:colOff>5521</xdr:colOff>
      <xdr:row>64</xdr:row>
      <xdr:rowOff>188290</xdr:rowOff>
    </xdr:from>
    <xdr:to>
      <xdr:col>72</xdr:col>
      <xdr:colOff>325782</xdr:colOff>
      <xdr:row>77</xdr:row>
      <xdr:rowOff>129207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 editAs="oneCell">
    <xdr:from>
      <xdr:col>14</xdr:col>
      <xdr:colOff>523875</xdr:colOff>
      <xdr:row>0</xdr:row>
      <xdr:rowOff>47625</xdr:rowOff>
    </xdr:from>
    <xdr:to>
      <xdr:col>25</xdr:col>
      <xdr:colOff>534352</xdr:colOff>
      <xdr:row>14</xdr:row>
      <xdr:rowOff>366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1763375" y="47625"/>
          <a:ext cx="6820852" cy="2619741"/>
        </a:xfrm>
        <a:prstGeom prst="rect">
          <a:avLst/>
        </a:prstGeom>
      </xdr:spPr>
    </xdr:pic>
    <xdr:clientData/>
  </xdr:twoCellAnchor>
  <xdr:twoCellAnchor editAs="oneCell">
    <xdr:from>
      <xdr:col>30</xdr:col>
      <xdr:colOff>248479</xdr:colOff>
      <xdr:row>0</xdr:row>
      <xdr:rowOff>0</xdr:rowOff>
    </xdr:from>
    <xdr:to>
      <xdr:col>45</xdr:col>
      <xdr:colOff>207065</xdr:colOff>
      <xdr:row>18</xdr:row>
      <xdr:rowOff>51105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1534783" y="0"/>
          <a:ext cx="9276521" cy="3778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5"/>
  <sheetViews>
    <sheetView tabSelected="1" topLeftCell="A2" zoomScale="55" zoomScaleNormal="55" workbookViewId="0">
      <selection activeCell="C36" sqref="C36"/>
    </sheetView>
  </sheetViews>
  <sheetFormatPr defaultRowHeight="15" x14ac:dyDescent="0.25"/>
  <cols>
    <col min="2" max="2" width="17.28515625" customWidth="1"/>
    <col min="3" max="4" width="13.5703125" customWidth="1"/>
    <col min="5" max="5" width="16" customWidth="1"/>
    <col min="6" max="7" width="10.28515625" customWidth="1"/>
    <col min="8" max="8" width="10" customWidth="1"/>
    <col min="11" max="11" width="17.28515625" customWidth="1"/>
    <col min="12" max="12" width="10.85546875" customWidth="1"/>
    <col min="13" max="13" width="11.140625" customWidth="1"/>
    <col min="14" max="14" width="11.42578125" customWidth="1"/>
  </cols>
  <sheetData>
    <row r="2" spans="1:12" ht="15.75" thickBot="1" x14ac:dyDescent="0.3"/>
    <row r="3" spans="1:12" ht="16.5" thickTop="1" thickBot="1" x14ac:dyDescent="0.3">
      <c r="A3" s="1"/>
      <c r="B3" s="4" t="s">
        <v>16</v>
      </c>
      <c r="C3" s="4" t="s">
        <v>15</v>
      </c>
      <c r="D3" s="4" t="s">
        <v>14</v>
      </c>
      <c r="E3" s="4" t="s">
        <v>12</v>
      </c>
      <c r="F3" s="4" t="s">
        <v>0</v>
      </c>
      <c r="G3" s="4" t="s">
        <v>10</v>
      </c>
      <c r="H3" s="4" t="s">
        <v>11</v>
      </c>
      <c r="I3" s="4"/>
      <c r="J3" s="4" t="s">
        <v>27</v>
      </c>
      <c r="K3" s="4" t="s">
        <v>33</v>
      </c>
      <c r="L3" s="4" t="s">
        <v>135</v>
      </c>
    </row>
    <row r="4" spans="1:12" ht="16.5" thickTop="1" thickBot="1" x14ac:dyDescent="0.3">
      <c r="A4" s="1"/>
      <c r="B4" s="4">
        <v>3</v>
      </c>
      <c r="C4" s="4">
        <v>5</v>
      </c>
      <c r="D4" s="4">
        <v>4</v>
      </c>
      <c r="E4" s="4">
        <v>4</v>
      </c>
      <c r="F4" s="4">
        <v>8</v>
      </c>
      <c r="G4" s="4">
        <v>5</v>
      </c>
      <c r="H4" s="4">
        <v>10</v>
      </c>
      <c r="I4" s="4"/>
      <c r="J4" s="4">
        <f>K4*L4</f>
        <v>18000</v>
      </c>
      <c r="K4" s="4">
        <v>200000000</v>
      </c>
      <c r="L4" s="4">
        <v>9.0000000000000006E-5</v>
      </c>
    </row>
    <row r="5" spans="1:12" ht="16.5" thickTop="1" thickBot="1" x14ac:dyDescent="0.3">
      <c r="A5" s="1"/>
      <c r="B5" s="4" t="s">
        <v>13</v>
      </c>
      <c r="C5" s="4" t="s">
        <v>13</v>
      </c>
      <c r="D5" s="4" t="s">
        <v>13</v>
      </c>
      <c r="E5" s="4" t="s">
        <v>13</v>
      </c>
      <c r="F5" s="4" t="s">
        <v>9</v>
      </c>
      <c r="G5" s="4" t="s">
        <v>9</v>
      </c>
      <c r="H5" s="4" t="s">
        <v>9</v>
      </c>
      <c r="I5" s="4"/>
      <c r="J5" s="4" t="s">
        <v>155</v>
      </c>
      <c r="K5" s="4" t="s">
        <v>170</v>
      </c>
      <c r="L5" s="4" t="s">
        <v>171</v>
      </c>
    </row>
    <row r="6" spans="1:12" ht="15.75" thickTop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F7" s="1"/>
      <c r="G7" s="1"/>
      <c r="H7" s="1"/>
    </row>
    <row r="8" spans="1:12" x14ac:dyDescent="0.25">
      <c r="A8" s="1"/>
      <c r="B8" s="1"/>
      <c r="C8" s="1"/>
      <c r="D8" s="1"/>
      <c r="E8" s="1"/>
      <c r="F8" s="1"/>
      <c r="G8" s="1"/>
      <c r="H8" s="1"/>
    </row>
    <row r="9" spans="1:12" x14ac:dyDescent="0.25">
      <c r="A9" s="1"/>
      <c r="B9" s="1"/>
      <c r="C9" s="1"/>
      <c r="D9" s="1"/>
      <c r="E9" s="1"/>
      <c r="F9" s="1"/>
      <c r="G9" s="1"/>
      <c r="H9" s="1"/>
    </row>
    <row r="10" spans="1:12" x14ac:dyDescent="0.25">
      <c r="A10" s="1"/>
      <c r="B10" s="1"/>
      <c r="C10" s="1"/>
      <c r="D10" s="1"/>
      <c r="E10" s="1"/>
      <c r="F10" s="1"/>
      <c r="G10" s="1"/>
      <c r="H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</row>
    <row r="12" spans="1:12" x14ac:dyDescent="0.25">
      <c r="A12" s="1"/>
      <c r="B12" s="1"/>
      <c r="C12" s="1"/>
      <c r="D12" s="1"/>
    </row>
    <row r="13" spans="1:12" x14ac:dyDescent="0.25">
      <c r="A13" s="1"/>
      <c r="B13" s="1"/>
      <c r="C13" s="1"/>
      <c r="D13" s="1"/>
    </row>
    <row r="14" spans="1:12" x14ac:dyDescent="0.25">
      <c r="A14" s="1"/>
      <c r="B14" s="1"/>
      <c r="C14" s="1"/>
      <c r="D14" s="1"/>
    </row>
    <row r="15" spans="1:12" x14ac:dyDescent="0.25">
      <c r="A15" s="5"/>
      <c r="B15" s="5" t="s">
        <v>2</v>
      </c>
      <c r="C15" s="5"/>
      <c r="D15" s="5"/>
      <c r="E15" s="6"/>
    </row>
    <row r="16" spans="1:12" x14ac:dyDescent="0.25">
      <c r="A16" s="5"/>
      <c r="B16" s="5" t="s">
        <v>3</v>
      </c>
      <c r="C16" s="5"/>
      <c r="D16" s="5"/>
      <c r="E16" s="6"/>
    </row>
    <row r="17" spans="1:9" x14ac:dyDescent="0.25">
      <c r="A17" s="5"/>
      <c r="B17" s="5" t="s">
        <v>4</v>
      </c>
      <c r="C17" s="5"/>
      <c r="D17" s="5"/>
      <c r="E17" s="6"/>
    </row>
    <row r="18" spans="1:9" x14ac:dyDescent="0.25">
      <c r="A18" s="5"/>
      <c r="B18" s="5"/>
      <c r="C18" s="5"/>
      <c r="D18" s="5"/>
      <c r="E18" s="6"/>
    </row>
    <row r="19" spans="1:9" x14ac:dyDescent="0.25">
      <c r="A19" s="5"/>
      <c r="B19" s="5" t="s">
        <v>172</v>
      </c>
      <c r="C19" s="5">
        <f>L.C1!C120</f>
        <v>1.5302593223570611</v>
      </c>
      <c r="D19" s="5" t="s">
        <v>7</v>
      </c>
      <c r="E19" s="6" t="s">
        <v>159</v>
      </c>
    </row>
    <row r="20" spans="1:9" x14ac:dyDescent="0.25">
      <c r="A20" s="5"/>
      <c r="B20" s="5" t="s">
        <v>173</v>
      </c>
      <c r="C20" s="5">
        <f>L.C1!C122</f>
        <v>22.174980636755684</v>
      </c>
      <c r="D20" s="5" t="s">
        <v>7</v>
      </c>
      <c r="E20" s="6" t="s">
        <v>159</v>
      </c>
    </row>
    <row r="21" spans="1:9" x14ac:dyDescent="0.25">
      <c r="A21" s="5"/>
      <c r="B21" s="5" t="s">
        <v>174</v>
      </c>
      <c r="C21" s="5">
        <f>L.C1!C124</f>
        <v>9.2435640540491857</v>
      </c>
      <c r="D21" s="5" t="s">
        <v>8</v>
      </c>
      <c r="E21" s="6" t="s">
        <v>82</v>
      </c>
      <c r="I21" s="1"/>
    </row>
    <row r="22" spans="1:9" x14ac:dyDescent="0.25">
      <c r="A22" s="5"/>
      <c r="B22" s="5" t="s">
        <v>175</v>
      </c>
      <c r="C22" s="5">
        <f>L.C1!O120</f>
        <v>0.82349886532300287</v>
      </c>
      <c r="D22" s="5" t="s">
        <v>7</v>
      </c>
      <c r="E22" s="6" t="s">
        <v>159</v>
      </c>
    </row>
    <row r="23" spans="1:9" x14ac:dyDescent="0.25">
      <c r="A23" s="5"/>
      <c r="B23" s="5" t="s">
        <v>176</v>
      </c>
      <c r="C23" s="5">
        <f>L.C1!Dy</f>
        <v>55.805239718342754</v>
      </c>
      <c r="D23" s="5" t="s">
        <v>7</v>
      </c>
      <c r="E23" s="6" t="s">
        <v>159</v>
      </c>
    </row>
    <row r="24" spans="1:9" x14ac:dyDescent="0.25">
      <c r="A24" s="6"/>
      <c r="B24" s="5" t="s">
        <v>177</v>
      </c>
      <c r="C24" s="6">
        <f>L.C1!P120</f>
        <v>-0.59790381257844571</v>
      </c>
      <c r="D24" s="5" t="s">
        <v>7</v>
      </c>
      <c r="E24" s="6" t="s">
        <v>159</v>
      </c>
    </row>
    <row r="25" spans="1:9" x14ac:dyDescent="0.25">
      <c r="A25" s="6"/>
      <c r="B25" s="5" t="s">
        <v>178</v>
      </c>
      <c r="C25" s="6">
        <f>L.C1!Fy</f>
        <v>56.258930032323832</v>
      </c>
      <c r="D25" s="5" t="s">
        <v>7</v>
      </c>
      <c r="E25" s="6" t="s">
        <v>159</v>
      </c>
    </row>
    <row r="26" spans="1:9" x14ac:dyDescent="0.25">
      <c r="A26" s="6"/>
      <c r="B26" s="5" t="s">
        <v>179</v>
      </c>
      <c r="C26" s="6">
        <f>L.C1!N120</f>
        <v>-33.755854375101613</v>
      </c>
      <c r="D26" s="5" t="s">
        <v>7</v>
      </c>
      <c r="E26" s="6" t="s">
        <v>159</v>
      </c>
    </row>
    <row r="27" spans="1:9" x14ac:dyDescent="0.25">
      <c r="A27" s="6"/>
      <c r="B27" s="5" t="s">
        <v>180</v>
      </c>
      <c r="C27" s="6">
        <f>L.C1!N122</f>
        <v>33.760849612577729</v>
      </c>
      <c r="D27" s="5" t="s">
        <v>7</v>
      </c>
      <c r="E27" s="6" t="s">
        <v>159</v>
      </c>
    </row>
    <row r="28" spans="1:9" x14ac:dyDescent="0.25">
      <c r="A28" s="6"/>
      <c r="B28" s="5" t="s">
        <v>181</v>
      </c>
      <c r="C28" s="6">
        <f>L.C1!N124</f>
        <v>-0.20439472188906183</v>
      </c>
      <c r="D28" s="5" t="s">
        <v>8</v>
      </c>
      <c r="E28" s="6" t="s">
        <v>82</v>
      </c>
    </row>
    <row r="29" spans="1:9" x14ac:dyDescent="0.25">
      <c r="A29" s="6"/>
      <c r="B29" s="5" t="s">
        <v>160</v>
      </c>
      <c r="C29" s="6"/>
      <c r="D29" s="6"/>
      <c r="E29" s="6"/>
    </row>
    <row r="30" spans="1:9" x14ac:dyDescent="0.25">
      <c r="A30" s="6"/>
      <c r="B30" s="5" t="s">
        <v>161</v>
      </c>
      <c r="C30" s="6">
        <f>L.C1!Axx</f>
        <v>-18.658140102818784</v>
      </c>
      <c r="D30" s="5" t="s">
        <v>7</v>
      </c>
      <c r="E30" s="6"/>
    </row>
    <row r="31" spans="1:9" x14ac:dyDescent="0.25">
      <c r="A31" s="6"/>
      <c r="B31" s="5" t="s">
        <v>162</v>
      </c>
      <c r="C31" s="6">
        <f>L.C1!Ayy</f>
        <v>12.08078092416776</v>
      </c>
      <c r="D31" s="5" t="s">
        <v>7</v>
      </c>
      <c r="E31" s="6"/>
    </row>
    <row r="32" spans="1:9" x14ac:dyDescent="0.25">
      <c r="A32" s="6"/>
      <c r="B32" s="5" t="s">
        <v>163</v>
      </c>
      <c r="C32" s="6">
        <f>L.C1!Hxx</f>
        <v>-47.741519233052877</v>
      </c>
      <c r="D32" s="5" t="s">
        <v>7</v>
      </c>
      <c r="E32" s="6"/>
    </row>
    <row r="33" spans="1:5" x14ac:dyDescent="0.25">
      <c r="A33" s="6"/>
      <c r="B33" s="5" t="s">
        <v>164</v>
      </c>
      <c r="C33" s="6">
        <f>L.C1!Hyy</f>
        <v>-3.5321662929987951E-3</v>
      </c>
      <c r="D33" s="5" t="s">
        <v>7</v>
      </c>
      <c r="E33" s="6"/>
    </row>
    <row r="60" spans="1:5" x14ac:dyDescent="0.25">
      <c r="A60" s="6"/>
      <c r="B60" s="5" t="s">
        <v>165</v>
      </c>
      <c r="C60" s="5"/>
      <c r="D60" s="5"/>
      <c r="E60" s="6"/>
    </row>
    <row r="61" spans="1:5" x14ac:dyDescent="0.25">
      <c r="A61" s="6"/>
      <c r="B61" s="5" t="s">
        <v>3</v>
      </c>
      <c r="C61" s="5"/>
      <c r="D61" s="5"/>
      <c r="E61" s="6"/>
    </row>
    <row r="62" spans="1:5" x14ac:dyDescent="0.25">
      <c r="A62" s="6"/>
      <c r="B62" s="5" t="s">
        <v>127</v>
      </c>
      <c r="C62" s="5"/>
      <c r="D62" s="5"/>
      <c r="E62" s="6"/>
    </row>
    <row r="63" spans="1:5" x14ac:dyDescent="0.25">
      <c r="A63" s="6"/>
      <c r="B63" s="5"/>
      <c r="C63" s="5"/>
      <c r="D63" s="5"/>
      <c r="E63" s="6"/>
    </row>
    <row r="64" spans="1:5" x14ac:dyDescent="0.25">
      <c r="A64" s="6"/>
      <c r="B64" s="5" t="s">
        <v>172</v>
      </c>
      <c r="C64" s="5">
        <f>L.C2!C120</f>
        <v>30.185105771902226</v>
      </c>
      <c r="D64" s="5" t="s">
        <v>7</v>
      </c>
      <c r="E64" s="6" t="s">
        <v>159</v>
      </c>
    </row>
    <row r="65" spans="1:5" x14ac:dyDescent="0.25">
      <c r="A65" s="6"/>
      <c r="B65" s="5" t="s">
        <v>173</v>
      </c>
      <c r="C65" s="5">
        <f>L.C2!C122</f>
        <v>26.999860807558946</v>
      </c>
      <c r="D65" s="5" t="s">
        <v>7</v>
      </c>
      <c r="E65" s="6" t="s">
        <v>159</v>
      </c>
    </row>
    <row r="66" spans="1:5" x14ac:dyDescent="0.25">
      <c r="A66" s="6"/>
      <c r="B66" s="5" t="s">
        <v>174</v>
      </c>
      <c r="C66" s="5">
        <f>L.C2!C124</f>
        <v>-18.440865681299908</v>
      </c>
      <c r="D66" s="5" t="s">
        <v>8</v>
      </c>
      <c r="E66" s="6" t="s">
        <v>82</v>
      </c>
    </row>
    <row r="67" spans="1:5" x14ac:dyDescent="0.25">
      <c r="A67" s="6"/>
      <c r="B67" s="5" t="s">
        <v>175</v>
      </c>
      <c r="C67" s="5">
        <f>L.C2!O120</f>
        <v>3.2490441700778714</v>
      </c>
      <c r="D67" s="5" t="s">
        <v>7</v>
      </c>
      <c r="E67" s="6" t="s">
        <v>159</v>
      </c>
    </row>
    <row r="68" spans="1:5" x14ac:dyDescent="0.25">
      <c r="A68" s="6"/>
      <c r="B68" s="5" t="s">
        <v>176</v>
      </c>
      <c r="C68" s="5">
        <f>L.C2!Dy</f>
        <v>50.419948467780898</v>
      </c>
      <c r="D68" s="5" t="s">
        <v>7</v>
      </c>
      <c r="E68" s="6" t="s">
        <v>159</v>
      </c>
    </row>
    <row r="69" spans="1:5" x14ac:dyDescent="0.25">
      <c r="A69" s="6"/>
      <c r="B69" s="5" t="s">
        <v>177</v>
      </c>
      <c r="C69" s="6">
        <f>L.C2!P120</f>
        <v>2.0752008637684893</v>
      </c>
      <c r="D69" s="5" t="s">
        <v>7</v>
      </c>
      <c r="E69" s="6" t="s">
        <v>159</v>
      </c>
    </row>
    <row r="70" spans="1:5" x14ac:dyDescent="0.25">
      <c r="A70" s="6"/>
      <c r="B70" s="5" t="s">
        <v>178</v>
      </c>
      <c r="C70" s="6">
        <f>L.C2!Fy</f>
        <v>62.112722971537224</v>
      </c>
      <c r="D70" s="5" t="s">
        <v>7</v>
      </c>
      <c r="E70" s="6" t="s">
        <v>159</v>
      </c>
    </row>
    <row r="71" spans="1:5" x14ac:dyDescent="0.25">
      <c r="A71" s="6"/>
      <c r="B71" s="5" t="s">
        <v>179</v>
      </c>
      <c r="C71" s="6">
        <f>L.C2!N120</f>
        <v>-3.509350805748582</v>
      </c>
      <c r="D71" s="5" t="s">
        <v>7</v>
      </c>
      <c r="E71" s="6" t="s">
        <v>159</v>
      </c>
    </row>
    <row r="72" spans="1:5" x14ac:dyDescent="0.25">
      <c r="A72" s="6"/>
      <c r="B72" s="5" t="s">
        <v>180</v>
      </c>
      <c r="C72" s="6">
        <f>L.C2!N122</f>
        <v>28.467467753122939</v>
      </c>
      <c r="D72" s="5" t="s">
        <v>7</v>
      </c>
      <c r="E72" s="6" t="s">
        <v>159</v>
      </c>
    </row>
    <row r="73" spans="1:5" x14ac:dyDescent="0.25">
      <c r="A73" s="6"/>
      <c r="B73" s="5" t="s">
        <v>181</v>
      </c>
      <c r="C73" s="6">
        <f>L.C2!N124</f>
        <v>-27.200804314071796</v>
      </c>
      <c r="D73" s="5" t="s">
        <v>8</v>
      </c>
      <c r="E73" s="6" t="s">
        <v>82</v>
      </c>
    </row>
    <row r="74" spans="1:5" x14ac:dyDescent="0.25">
      <c r="A74" s="6"/>
      <c r="B74" s="5" t="s">
        <v>160</v>
      </c>
      <c r="C74" s="6"/>
      <c r="D74" s="6"/>
      <c r="E74" s="6"/>
    </row>
    <row r="75" spans="1:5" x14ac:dyDescent="0.25">
      <c r="A75" s="6"/>
      <c r="B75" s="5" t="s">
        <v>161</v>
      </c>
      <c r="C75" s="6">
        <f>L.C2!Axx</f>
        <v>-39.71095210918849</v>
      </c>
      <c r="D75" s="5" t="s">
        <v>7</v>
      </c>
      <c r="E75" s="6"/>
    </row>
    <row r="76" spans="1:5" x14ac:dyDescent="0.25">
      <c r="A76" s="6"/>
      <c r="B76" s="5" t="s">
        <v>162</v>
      </c>
      <c r="C76" s="6">
        <f>L.C2!Ayy</f>
        <v>-7.9481681329864138</v>
      </c>
      <c r="D76" s="5" t="s">
        <v>7</v>
      </c>
      <c r="E76" s="6"/>
    </row>
    <row r="77" spans="1:5" x14ac:dyDescent="0.25">
      <c r="A77" s="6"/>
      <c r="B77" s="5" t="s">
        <v>163</v>
      </c>
      <c r="C77" s="6">
        <f>L.C2!Hxx</f>
        <v>-22.611025243749896</v>
      </c>
      <c r="D77" s="5" t="s">
        <v>7</v>
      </c>
      <c r="E77" s="6"/>
    </row>
    <row r="78" spans="1:5" x14ac:dyDescent="0.25">
      <c r="A78" s="6"/>
      <c r="B78" s="5" t="s">
        <v>164</v>
      </c>
      <c r="C78" s="6">
        <f>L.C2!Hyy</f>
        <v>-17.648053739135303</v>
      </c>
      <c r="D78" s="5" t="s">
        <v>7</v>
      </c>
      <c r="E78" s="6"/>
    </row>
    <row r="105" spans="1:14" x14ac:dyDescent="0.25">
      <c r="A105" s="6"/>
      <c r="B105" s="5" t="s">
        <v>166</v>
      </c>
      <c r="C105" s="6"/>
      <c r="D105" s="6"/>
      <c r="E105" s="6"/>
      <c r="J105" s="6"/>
      <c r="K105" s="5" t="s">
        <v>169</v>
      </c>
      <c r="L105" s="6"/>
      <c r="M105" s="6"/>
      <c r="N105" s="6"/>
    </row>
    <row r="106" spans="1:14" x14ac:dyDescent="0.25">
      <c r="A106" s="6"/>
      <c r="B106" s="5" t="s">
        <v>167</v>
      </c>
      <c r="C106" s="6"/>
      <c r="D106" s="6"/>
      <c r="E106" s="6"/>
      <c r="J106" s="6"/>
      <c r="K106" s="5" t="s">
        <v>167</v>
      </c>
      <c r="L106" s="6"/>
      <c r="M106" s="6"/>
      <c r="N106" s="6"/>
    </row>
    <row r="107" spans="1:14" x14ac:dyDescent="0.25">
      <c r="A107" s="6"/>
      <c r="B107" s="5" t="s">
        <v>4</v>
      </c>
      <c r="C107" s="6"/>
      <c r="D107" s="6"/>
      <c r="E107" s="6"/>
      <c r="J107" s="6"/>
      <c r="K107" s="5" t="s">
        <v>127</v>
      </c>
      <c r="L107" s="6"/>
      <c r="M107" s="6"/>
      <c r="N107" s="6"/>
    </row>
    <row r="108" spans="1:14" x14ac:dyDescent="0.25">
      <c r="A108" s="6"/>
      <c r="B108" s="6"/>
      <c r="C108" s="6"/>
      <c r="D108" s="6"/>
      <c r="E108" s="6"/>
      <c r="J108" s="6"/>
      <c r="K108" s="6"/>
      <c r="L108" s="6"/>
      <c r="M108" s="6"/>
      <c r="N108" s="6"/>
    </row>
    <row r="109" spans="1:14" x14ac:dyDescent="0.25">
      <c r="A109" s="6"/>
      <c r="B109" s="5" t="s">
        <v>172</v>
      </c>
      <c r="C109" s="5">
        <f>L.C3!C120</f>
        <v>-1.3922629988172304</v>
      </c>
      <c r="D109" s="5" t="s">
        <v>7</v>
      </c>
      <c r="E109" s="6" t="s">
        <v>159</v>
      </c>
      <c r="J109" s="6"/>
      <c r="K109" s="5" t="s">
        <v>172</v>
      </c>
      <c r="L109" s="5">
        <f>L.C4!C120</f>
        <v>26.186408259815337</v>
      </c>
      <c r="M109" s="5" t="s">
        <v>7</v>
      </c>
      <c r="N109" s="6" t="s">
        <v>159</v>
      </c>
    </row>
    <row r="110" spans="1:14" x14ac:dyDescent="0.25">
      <c r="A110" s="6"/>
      <c r="B110" s="5" t="s">
        <v>173</v>
      </c>
      <c r="C110" s="5">
        <f>L.C3!C122</f>
        <v>18.83555588820138</v>
      </c>
      <c r="D110" s="5" t="s">
        <v>7</v>
      </c>
      <c r="E110" s="6" t="s">
        <v>159</v>
      </c>
      <c r="J110" s="6"/>
      <c r="K110" s="5" t="s">
        <v>173</v>
      </c>
      <c r="L110" s="5">
        <f>L.C4!C122</f>
        <v>23.065914840896195</v>
      </c>
      <c r="M110" s="5" t="s">
        <v>7</v>
      </c>
      <c r="N110" s="6" t="s">
        <v>159</v>
      </c>
    </row>
    <row r="111" spans="1:14" x14ac:dyDescent="0.25">
      <c r="A111" s="6"/>
      <c r="B111" s="5" t="s">
        <v>174</v>
      </c>
      <c r="C111" s="5">
        <f>L.C3!C124</f>
        <v>9.806471128412575</v>
      </c>
      <c r="D111" s="5" t="s">
        <v>8</v>
      </c>
      <c r="E111" s="6" t="s">
        <v>82</v>
      </c>
      <c r="J111" s="6"/>
      <c r="K111" s="5" t="s">
        <v>174</v>
      </c>
      <c r="L111" s="5">
        <f>L.C4!C124</f>
        <v>-16.600771921042572</v>
      </c>
      <c r="M111" s="5" t="s">
        <v>8</v>
      </c>
      <c r="N111" s="6" t="s">
        <v>82</v>
      </c>
    </row>
    <row r="112" spans="1:14" x14ac:dyDescent="0.25">
      <c r="A112" s="6"/>
      <c r="B112" s="5" t="s">
        <v>175</v>
      </c>
      <c r="C112" s="5">
        <f>L.C3!O120</f>
        <v>0.74240139175443509</v>
      </c>
      <c r="D112" s="5" t="s">
        <v>7</v>
      </c>
      <c r="E112" s="6" t="s">
        <v>159</v>
      </c>
      <c r="J112" s="6"/>
      <c r="K112" s="5" t="s">
        <v>175</v>
      </c>
      <c r="L112" s="5">
        <f>L.C4!O120</f>
        <v>2.937616061538475</v>
      </c>
      <c r="M112" s="5" t="s">
        <v>7</v>
      </c>
      <c r="N112" s="6" t="s">
        <v>159</v>
      </c>
    </row>
    <row r="113" spans="1:14" x14ac:dyDescent="0.25">
      <c r="A113" s="6"/>
      <c r="B113" s="5" t="s">
        <v>176</v>
      </c>
      <c r="C113" s="5">
        <f>L.C3!Dy</f>
        <v>46.098928470583523</v>
      </c>
      <c r="D113" s="5" t="s">
        <v>7</v>
      </c>
      <c r="E113" s="6" t="s">
        <v>159</v>
      </c>
      <c r="J113" s="6"/>
      <c r="K113" s="5" t="s">
        <v>176</v>
      </c>
      <c r="L113" s="5">
        <f>L.C4!Dy</f>
        <v>41.403157608709584</v>
      </c>
      <c r="M113" s="5" t="s">
        <v>7</v>
      </c>
      <c r="N113" s="6" t="s">
        <v>159</v>
      </c>
    </row>
    <row r="114" spans="1:14" x14ac:dyDescent="0.25">
      <c r="A114" s="6"/>
      <c r="B114" s="5" t="s">
        <v>177</v>
      </c>
      <c r="C114" s="6">
        <f>L.C3!P120</f>
        <v>-0.48644544641080634</v>
      </c>
      <c r="D114" s="5" t="s">
        <v>7</v>
      </c>
      <c r="E114" s="6" t="s">
        <v>159</v>
      </c>
      <c r="J114" s="6"/>
      <c r="K114" s="5" t="s">
        <v>177</v>
      </c>
      <c r="L114" s="6">
        <f>L.C4!P120</f>
        <v>1.9331830817677611</v>
      </c>
      <c r="M114" s="5" t="s">
        <v>7</v>
      </c>
      <c r="N114" s="6" t="s">
        <v>159</v>
      </c>
    </row>
    <row r="115" spans="1:14" x14ac:dyDescent="0.25">
      <c r="A115" s="6"/>
      <c r="B115" s="5" t="s">
        <v>178</v>
      </c>
      <c r="C115" s="6">
        <f>L.C3!Fy</f>
        <v>46.987480635304607</v>
      </c>
      <c r="D115" s="5" t="s">
        <v>7</v>
      </c>
      <c r="E115" s="6" t="s">
        <v>159</v>
      </c>
      <c r="J115" s="6"/>
      <c r="K115" s="5" t="s">
        <v>178</v>
      </c>
      <c r="L115" s="6">
        <f>L.C4!Fy</f>
        <v>52.101399010284055</v>
      </c>
      <c r="M115" s="5" t="s">
        <v>7</v>
      </c>
      <c r="N115" s="6" t="s">
        <v>159</v>
      </c>
    </row>
    <row r="116" spans="1:14" x14ac:dyDescent="0.25">
      <c r="A116" s="6"/>
      <c r="B116" s="5" t="s">
        <v>179</v>
      </c>
      <c r="C116" s="6">
        <f>L.C3!N120</f>
        <v>-28.025277165279391</v>
      </c>
      <c r="D116" s="5" t="s">
        <v>7</v>
      </c>
      <c r="E116" s="6" t="s">
        <v>159</v>
      </c>
      <c r="J116" s="6"/>
      <c r="K116" s="5" t="s">
        <v>179</v>
      </c>
      <c r="L116" s="6">
        <f>L.C4!N120</f>
        <v>0.94279259687841943</v>
      </c>
      <c r="M116" s="5" t="s">
        <v>7</v>
      </c>
      <c r="N116" s="6" t="s">
        <v>159</v>
      </c>
    </row>
    <row r="117" spans="1:14" x14ac:dyDescent="0.25">
      <c r="A117" s="6"/>
      <c r="B117" s="5" t="s">
        <v>180</v>
      </c>
      <c r="C117" s="6">
        <f>L.C3!N122</f>
        <v>28.078035005910486</v>
      </c>
      <c r="D117" s="5" t="s">
        <v>7</v>
      </c>
      <c r="E117" s="6" t="s">
        <v>159</v>
      </c>
      <c r="J117" s="6"/>
      <c r="K117" s="5" t="s">
        <v>180</v>
      </c>
      <c r="L117" s="6">
        <f>L.C4!N122</f>
        <v>23.429528540110162</v>
      </c>
      <c r="M117" s="5" t="s">
        <v>7</v>
      </c>
      <c r="N117" s="6" t="s">
        <v>159</v>
      </c>
    </row>
    <row r="118" spans="1:14" x14ac:dyDescent="0.25">
      <c r="A118" s="6"/>
      <c r="B118" s="5" t="s">
        <v>181</v>
      </c>
      <c r="C118" s="6">
        <f>L.C3!N124</f>
        <v>-0.26310128935032245</v>
      </c>
      <c r="D118" s="5" t="s">
        <v>8</v>
      </c>
      <c r="E118" s="6" t="s">
        <v>82</v>
      </c>
      <c r="J118" s="6"/>
      <c r="K118" s="5" t="s">
        <v>181</v>
      </c>
      <c r="L118" s="6">
        <f>L.C4!N124</f>
        <v>-26.028690265536461</v>
      </c>
      <c r="M118" s="5" t="s">
        <v>8</v>
      </c>
      <c r="N118" s="6" t="s">
        <v>82</v>
      </c>
    </row>
    <row r="119" spans="1:14" x14ac:dyDescent="0.25">
      <c r="A119" s="6"/>
      <c r="B119" s="5" t="s">
        <v>160</v>
      </c>
      <c r="C119" s="6"/>
      <c r="D119" s="6"/>
      <c r="E119" s="6"/>
      <c r="J119" s="6"/>
      <c r="K119" s="5" t="s">
        <v>160</v>
      </c>
      <c r="L119" s="6"/>
      <c r="M119" s="6"/>
      <c r="N119" s="6"/>
    </row>
    <row r="120" spans="1:14" x14ac:dyDescent="0.25">
      <c r="A120" s="6"/>
      <c r="B120" s="5" t="s">
        <v>161</v>
      </c>
      <c r="C120" s="6">
        <f>L.C3!Axx</f>
        <v>-14.233086911270766</v>
      </c>
      <c r="D120" s="5" t="s">
        <v>7</v>
      </c>
      <c r="E120" s="6"/>
      <c r="J120" s="6"/>
      <c r="K120" s="5" t="s">
        <v>161</v>
      </c>
      <c r="L120" s="6">
        <f>L.C4!Axx</f>
        <v>-34.164576828606158</v>
      </c>
      <c r="M120" s="5" t="s">
        <v>7</v>
      </c>
      <c r="N120" s="6"/>
    </row>
    <row r="121" spans="1:14" x14ac:dyDescent="0.25">
      <c r="A121" s="6"/>
      <c r="B121" s="5" t="s">
        <v>162</v>
      </c>
      <c r="C121" s="6">
        <f>L.C3!Ayy</f>
        <v>12.415143931974612</v>
      </c>
      <c r="D121" s="5" t="s">
        <v>7</v>
      </c>
      <c r="E121" s="6"/>
      <c r="J121" s="6"/>
      <c r="K121" s="5" t="s">
        <v>162</v>
      </c>
      <c r="L121" s="6">
        <f>L.C4!Ayy</f>
        <v>-7.1095777033145549</v>
      </c>
      <c r="M121" s="5" t="s">
        <v>7</v>
      </c>
      <c r="N121" s="6"/>
    </row>
    <row r="122" spans="1:14" x14ac:dyDescent="0.25">
      <c r="A122" s="6"/>
      <c r="B122" s="5" t="s">
        <v>163</v>
      </c>
      <c r="C122" s="6">
        <f>L.C3!Hxx</f>
        <v>-39.671032483274125</v>
      </c>
      <c r="D122" s="5" t="s">
        <v>7</v>
      </c>
      <c r="E122" s="6"/>
      <c r="J122" s="6"/>
      <c r="K122" s="5" t="s">
        <v>163</v>
      </c>
      <c r="L122" s="6">
        <f>L.C4!Hxx</f>
        <v>-15.900523472210441</v>
      </c>
      <c r="M122" s="5" t="s">
        <v>7</v>
      </c>
      <c r="N122" s="6"/>
    </row>
    <row r="123" spans="1:14" x14ac:dyDescent="0.25">
      <c r="A123" s="6"/>
      <c r="B123" s="5" t="s">
        <v>164</v>
      </c>
      <c r="C123" s="6">
        <f>L.C3!Hyy</f>
        <v>-3.7305426871007796E-2</v>
      </c>
      <c r="D123" s="5" t="s">
        <v>7</v>
      </c>
      <c r="E123" s="6"/>
      <c r="J123" s="6"/>
      <c r="K123" s="5" t="s">
        <v>164</v>
      </c>
      <c r="L123" s="6">
        <f>L.C4!Hyy</f>
        <v>-17.233833549220851</v>
      </c>
      <c r="M123" s="5" t="s">
        <v>7</v>
      </c>
      <c r="N123" s="6"/>
    </row>
    <row r="124" spans="1:14" x14ac:dyDescent="0.25">
      <c r="A124" s="6"/>
      <c r="B124" s="6"/>
      <c r="C124" s="6"/>
      <c r="D124" s="6"/>
      <c r="E124" s="6"/>
      <c r="J124" s="6"/>
      <c r="K124" s="6"/>
      <c r="L124" s="6"/>
      <c r="M124" s="6"/>
      <c r="N124" s="6"/>
    </row>
    <row r="125" spans="1:14" x14ac:dyDescent="0.25">
      <c r="A125" s="6"/>
      <c r="B125" s="5" t="s">
        <v>168</v>
      </c>
      <c r="C125" s="6">
        <f>L.C3!C215</f>
        <v>0.12135121544557718</v>
      </c>
      <c r="D125" s="5" t="s">
        <v>156</v>
      </c>
      <c r="E125" s="6" t="s">
        <v>158</v>
      </c>
      <c r="J125" s="6"/>
      <c r="K125" s="5" t="s">
        <v>168</v>
      </c>
      <c r="L125" s="6">
        <f>L.C4!C215</f>
        <v>5.2234104706879609</v>
      </c>
      <c r="M125" s="5" t="s">
        <v>156</v>
      </c>
      <c r="N125" s="6" t="s">
        <v>158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57"/>
  <sheetViews>
    <sheetView topLeftCell="A85" zoomScale="37" zoomScaleNormal="37" workbookViewId="0">
      <selection activeCell="BV127" sqref="BV127"/>
    </sheetView>
  </sheetViews>
  <sheetFormatPr defaultRowHeight="15" x14ac:dyDescent="0.25"/>
  <cols>
    <col min="1" max="1" width="20.85546875" customWidth="1"/>
    <col min="2" max="2" width="20" customWidth="1"/>
    <col min="3" max="3" width="7.5703125" customWidth="1"/>
    <col min="4" max="4" width="9.85546875" customWidth="1"/>
    <col min="5" max="6" width="9.7109375" customWidth="1"/>
    <col min="7" max="7" width="7.85546875" customWidth="1"/>
    <col min="8" max="8" width="7.42578125" customWidth="1"/>
    <col min="12" max="13" width="12" bestFit="1" customWidth="1"/>
    <col min="27" max="27" width="9.140625" customWidth="1"/>
    <col min="28" max="28" width="17.140625" customWidth="1"/>
    <col min="29" max="29" width="19.140625" customWidth="1"/>
    <col min="30" max="30" width="31.7109375" customWidth="1"/>
    <col min="35" max="35" width="13.85546875" customWidth="1"/>
    <col min="36" max="36" width="17.85546875" customWidth="1"/>
    <col min="37" max="37" width="31.42578125" customWidth="1"/>
    <col min="44" max="44" width="10.28515625" customWidth="1"/>
    <col min="48" max="48" width="9.140625" customWidth="1"/>
    <col min="49" max="49" width="20.85546875" customWidth="1"/>
    <col min="50" max="50" width="18.140625" customWidth="1"/>
    <col min="51" max="51" width="31" customWidth="1"/>
    <col min="62" max="62" width="9.42578125" customWidth="1"/>
    <col min="63" max="63" width="23.42578125" customWidth="1"/>
    <col min="64" max="64" width="34.42578125" customWidth="1"/>
    <col min="65" max="65" width="31.7109375" customWidth="1"/>
    <col min="69" max="69" width="11" customWidth="1"/>
    <col min="70" max="70" width="11.5703125" customWidth="1"/>
    <col min="71" max="71" width="12" customWidth="1"/>
    <col min="72" max="72" width="11" customWidth="1"/>
    <col min="73" max="73" width="17.7109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8" t="s">
        <v>1</v>
      </c>
      <c r="C2" s="8"/>
      <c r="D2" s="8" t="s">
        <v>0</v>
      </c>
      <c r="E2" s="8" t="s">
        <v>89</v>
      </c>
      <c r="F2" s="8" t="s">
        <v>88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8"/>
      <c r="C3" s="8"/>
      <c r="D3" s="8">
        <f>LW</f>
        <v>8</v>
      </c>
      <c r="E3" s="8">
        <f>1.2*W1_</f>
        <v>6</v>
      </c>
      <c r="F3" s="8">
        <f>1.2*W2_</f>
        <v>12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8"/>
      <c r="C4" s="8"/>
      <c r="D4" s="8" t="s">
        <v>17</v>
      </c>
      <c r="E4" s="8" t="s">
        <v>17</v>
      </c>
      <c r="F4" s="8" t="s">
        <v>17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8" t="s">
        <v>182</v>
      </c>
      <c r="D7" s="8" t="s">
        <v>183</v>
      </c>
      <c r="E7" s="8" t="s">
        <v>184</v>
      </c>
      <c r="F7" s="8" t="s">
        <v>185</v>
      </c>
      <c r="G7" s="8" t="s">
        <v>186</v>
      </c>
      <c r="H7" s="8" t="s">
        <v>187</v>
      </c>
      <c r="I7" s="8" t="s">
        <v>188</v>
      </c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8">
        <f>SQRT((S1_*S1_)+(H1_*H1_))</f>
        <v>5</v>
      </c>
      <c r="D8" s="8">
        <v>4</v>
      </c>
      <c r="E8" s="8">
        <f xml:space="preserve"> H1_</f>
        <v>4</v>
      </c>
      <c r="F8" s="8">
        <f xml:space="preserve"> S2_</f>
        <v>5</v>
      </c>
      <c r="G8" s="8">
        <f xml:space="preserve"> H1_</f>
        <v>4</v>
      </c>
      <c r="H8" s="8">
        <v>4</v>
      </c>
      <c r="I8" s="8">
        <f>SQRT((S3_*S3_)+(H1_*H1_))</f>
        <v>5.6568542494923806</v>
      </c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8" t="s">
        <v>13</v>
      </c>
      <c r="D9" s="8" t="s">
        <v>13</v>
      </c>
      <c r="E9" s="8" t="s">
        <v>13</v>
      </c>
      <c r="F9" s="8" t="s">
        <v>13</v>
      </c>
      <c r="G9" s="8" t="s">
        <v>13</v>
      </c>
      <c r="H9" s="8" t="s">
        <v>13</v>
      </c>
      <c r="I9" s="8" t="s">
        <v>13</v>
      </c>
      <c r="J9" s="1"/>
      <c r="K9" s="1"/>
      <c r="L9" s="1"/>
      <c r="M9" s="1"/>
      <c r="N9" s="1"/>
      <c r="O9" s="1"/>
      <c r="P9" s="1"/>
      <c r="Q9" s="1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6.5" thickTop="1" thickBot="1" x14ac:dyDescent="0.3">
      <c r="A11" s="4" t="s">
        <v>37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thickTop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7" t="s">
        <v>189</v>
      </c>
      <c r="M14" s="7">
        <f>E3*2</f>
        <v>12</v>
      </c>
      <c r="N14" s="1"/>
      <c r="O14" s="1"/>
      <c r="P14" s="1"/>
      <c r="Q14" s="1"/>
    </row>
    <row r="15" spans="1:17" x14ac:dyDescent="0.25">
      <c r="A15" s="1"/>
      <c r="B15" s="8" t="s">
        <v>28</v>
      </c>
      <c r="C15" s="8" t="s">
        <v>29</v>
      </c>
      <c r="D15" s="8" t="s">
        <v>30</v>
      </c>
      <c r="E15" s="8" t="s">
        <v>30</v>
      </c>
      <c r="F15" s="8" t="s">
        <v>31</v>
      </c>
      <c r="G15" s="8" t="s">
        <v>31</v>
      </c>
      <c r="H15" s="8" t="s">
        <v>31</v>
      </c>
      <c r="I15" s="8" t="s">
        <v>33</v>
      </c>
      <c r="J15" s="8" t="s">
        <v>33</v>
      </c>
      <c r="K15" s="8" t="s">
        <v>33</v>
      </c>
      <c r="L15" s="8" t="s">
        <v>35</v>
      </c>
      <c r="M15" s="8" t="s">
        <v>35</v>
      </c>
      <c r="N15" s="8" t="s">
        <v>36</v>
      </c>
      <c r="O15" s="8" t="s">
        <v>32</v>
      </c>
      <c r="P15" s="8" t="s">
        <v>34</v>
      </c>
      <c r="Q15" s="1"/>
    </row>
    <row r="16" spans="1:17" x14ac:dyDescent="0.25">
      <c r="A16" s="1"/>
      <c r="B16" s="8" t="s">
        <v>39</v>
      </c>
      <c r="C16" s="8" t="s">
        <v>43</v>
      </c>
      <c r="D16" s="8" t="s">
        <v>44</v>
      </c>
      <c r="E16" s="8" t="s">
        <v>45</v>
      </c>
      <c r="F16" s="8" t="s">
        <v>46</v>
      </c>
      <c r="G16" s="8" t="s">
        <v>47</v>
      </c>
      <c r="H16" s="8" t="s">
        <v>48</v>
      </c>
      <c r="I16" s="8" t="s">
        <v>49</v>
      </c>
      <c r="J16" s="8" t="s">
        <v>50</v>
      </c>
      <c r="K16" s="8" t="s">
        <v>51</v>
      </c>
      <c r="L16" s="8" t="s">
        <v>52</v>
      </c>
      <c r="M16" s="8" t="s">
        <v>53</v>
      </c>
      <c r="N16" s="8" t="s">
        <v>54</v>
      </c>
      <c r="O16" s="8" t="s">
        <v>55</v>
      </c>
      <c r="P16" s="8" t="s">
        <v>56</v>
      </c>
      <c r="Q16" s="1"/>
    </row>
    <row r="17" spans="1:17" x14ac:dyDescent="0.25">
      <c r="A17" s="1"/>
      <c r="B17" s="8" t="s">
        <v>57</v>
      </c>
      <c r="C17" s="8">
        <f xml:space="preserve"> 4 * EI/L_AB</f>
        <v>14400</v>
      </c>
      <c r="D17" s="8">
        <f xml:space="preserve"> 4 * EI/L_AB</f>
        <v>14400</v>
      </c>
      <c r="E17" s="8">
        <f xml:space="preserve"> 4 * EI/L_BC</f>
        <v>18000</v>
      </c>
      <c r="F17" s="8">
        <f xml:space="preserve"> 4 * EI/L_BC</f>
        <v>18000</v>
      </c>
      <c r="G17" s="8">
        <f>3* EI / L_CD</f>
        <v>13500</v>
      </c>
      <c r="H17" s="8">
        <f>4*EI/L_CE</f>
        <v>14400</v>
      </c>
      <c r="I17" s="8">
        <f>4*EI/L_CE</f>
        <v>14400</v>
      </c>
      <c r="J17" s="8">
        <f>3*EI/L_EF</f>
        <v>13500</v>
      </c>
      <c r="K17" s="8">
        <f>4*EI/L_EG</f>
        <v>18000</v>
      </c>
      <c r="L17" s="8">
        <f>4*EI/L_EG</f>
        <v>18000</v>
      </c>
      <c r="M17" s="8">
        <f>4*EI/L_GH</f>
        <v>12727.922061357855</v>
      </c>
      <c r="N17" s="8">
        <f>4*EI/L_GH</f>
        <v>12727.922061357855</v>
      </c>
      <c r="O17" s="8">
        <f>3* EI / L_CD</f>
        <v>13500</v>
      </c>
      <c r="P17" s="8">
        <f>3*EI/L_EF</f>
        <v>13500</v>
      </c>
      <c r="Q17" s="1"/>
    </row>
    <row r="18" spans="1:17" x14ac:dyDescent="0.25">
      <c r="A18" s="1"/>
      <c r="B18" s="8" t="s">
        <v>40</v>
      </c>
      <c r="C18" s="8">
        <v>0</v>
      </c>
      <c r="D18" s="8">
        <f>D17/SUM(D17:E17)</f>
        <v>0.44444444444444442</v>
      </c>
      <c r="E18" s="8">
        <f>E17/SUM(D17:E17)</f>
        <v>0.55555555555555558</v>
      </c>
      <c r="F18" s="8">
        <f>F17/SUM(F17:H17)</f>
        <v>0.39215686274509803</v>
      </c>
      <c r="G18" s="8">
        <f>G17/SUM(F17:H17)</f>
        <v>0.29411764705882354</v>
      </c>
      <c r="H18" s="8">
        <f>H17/SUM(F17:H17)</f>
        <v>0.31372549019607843</v>
      </c>
      <c r="I18" s="8">
        <f>I17/SUM(I17:K17)</f>
        <v>0.31372549019607843</v>
      </c>
      <c r="J18" s="8">
        <f>J17/SUM(I17:K17)</f>
        <v>0.29411764705882354</v>
      </c>
      <c r="K18" s="8">
        <f>K17/SUM(I17:K17)</f>
        <v>0.39215686274509803</v>
      </c>
      <c r="L18" s="8">
        <f>L17/SUM(L17:M17)</f>
        <v>0.58578643762690497</v>
      </c>
      <c r="M18" s="8">
        <f>M17/SUM(L17:M17)</f>
        <v>0.41421356237309503</v>
      </c>
      <c r="N18" s="8">
        <v>0</v>
      </c>
      <c r="O18" s="8">
        <v>1</v>
      </c>
      <c r="P18" s="8">
        <v>1</v>
      </c>
      <c r="Q18" s="1"/>
    </row>
    <row r="19" spans="1:17" x14ac:dyDescent="0.25">
      <c r="A19" s="1"/>
      <c r="B19" s="8" t="s">
        <v>38</v>
      </c>
      <c r="C19" s="8">
        <f>-D3*H1_*H1_/12</f>
        <v>-10.666666666666666</v>
      </c>
      <c r="D19" s="8">
        <f>D3*H1_*H1_/12</f>
        <v>10.666666666666666</v>
      </c>
      <c r="E19" s="8">
        <f>-F3*L_BC*L_BC/12</f>
        <v>-16</v>
      </c>
      <c r="F19" s="8">
        <f>F3*L_BC*L_BC/12</f>
        <v>16</v>
      </c>
      <c r="G19" s="8">
        <v>0</v>
      </c>
      <c r="H19" s="8">
        <f>-F3*L_CE*L_CE/12</f>
        <v>-25</v>
      </c>
      <c r="I19" s="8">
        <f>F3*L_CE*L_CE/12</f>
        <v>25</v>
      </c>
      <c r="J19" s="8">
        <v>0</v>
      </c>
      <c r="K19" s="8">
        <f>-F3*L_EG*L_EG/12</f>
        <v>-16</v>
      </c>
      <c r="L19" s="8">
        <f>F3*L_EG*L_EG/12</f>
        <v>16</v>
      </c>
      <c r="M19" s="8">
        <v>0</v>
      </c>
      <c r="N19" s="8">
        <v>0</v>
      </c>
      <c r="O19" s="8">
        <v>0</v>
      </c>
      <c r="P19" s="8">
        <v>0</v>
      </c>
      <c r="Q19" s="1"/>
    </row>
    <row r="20" spans="1:17" x14ac:dyDescent="0.25">
      <c r="A20" s="1"/>
      <c r="B20" s="8" t="s">
        <v>41</v>
      </c>
      <c r="C20" s="8"/>
      <c r="D20" s="8">
        <f>-SUM(D19:E19)*D18</f>
        <v>2.3703703703703707</v>
      </c>
      <c r="E20" s="8">
        <f>-SUM(D19:E19)*E18</f>
        <v>2.9629629629629632</v>
      </c>
      <c r="F20" s="8">
        <f>-SUM(F19:H19)*F18</f>
        <v>3.5294117647058822</v>
      </c>
      <c r="G20" s="8">
        <f>-SUM(F19:H19)*G18</f>
        <v>2.6470588235294117</v>
      </c>
      <c r="H20" s="8">
        <f>-SUM(F19:H19)*H18</f>
        <v>2.8235294117647056</v>
      </c>
      <c r="I20" s="8">
        <f>-SUM(I19:K19)*I18</f>
        <v>-2.8235294117647056</v>
      </c>
      <c r="J20" s="8">
        <f>-SUM(I19:K19)*J18</f>
        <v>-2.6470588235294117</v>
      </c>
      <c r="K20" s="8">
        <f>-SUM(I19:K19)*K18</f>
        <v>-3.5294117647058822</v>
      </c>
      <c r="L20" s="8">
        <f>-(L19+M19-M14)*L18</f>
        <v>-2.3431457505076199</v>
      </c>
      <c r="M20" s="8">
        <f>-(L19+M19-M14)*M18</f>
        <v>-1.6568542494923801</v>
      </c>
      <c r="N20" s="8"/>
      <c r="O20" s="8"/>
      <c r="P20" s="8"/>
      <c r="Q20" s="1"/>
    </row>
    <row r="21" spans="1:17" x14ac:dyDescent="0.25">
      <c r="A21" s="1"/>
      <c r="B21" s="8" t="s">
        <v>42</v>
      </c>
      <c r="C21" s="8">
        <f>D20/2</f>
        <v>1.1851851851851853</v>
      </c>
      <c r="D21" s="8"/>
      <c r="E21" s="8">
        <f>F20/2</f>
        <v>1.7647058823529411</v>
      </c>
      <c r="F21" s="8">
        <f>E20/2</f>
        <v>1.4814814814814816</v>
      </c>
      <c r="G21" s="8"/>
      <c r="H21" s="8">
        <f>I20/2</f>
        <v>-1.4117647058823528</v>
      </c>
      <c r="I21" s="8">
        <f>H20/2</f>
        <v>1.4117647058823528</v>
      </c>
      <c r="J21" s="8"/>
      <c r="K21" s="8">
        <f>L20/2</f>
        <v>-1.1715728752538099</v>
      </c>
      <c r="L21" s="8">
        <f>K20/2</f>
        <v>-1.7647058823529411</v>
      </c>
      <c r="M21" s="8"/>
      <c r="N21" s="8">
        <f>M20/2</f>
        <v>-0.82842712474619007</v>
      </c>
      <c r="O21" s="8"/>
      <c r="P21" s="8"/>
      <c r="Q21" s="1"/>
    </row>
    <row r="22" spans="1:17" x14ac:dyDescent="0.25">
      <c r="A22" s="1"/>
      <c r="B22" s="8" t="s">
        <v>41</v>
      </c>
      <c r="C22" s="8"/>
      <c r="D22" s="8">
        <f>-SUM(D21:E21)*D18</f>
        <v>-0.78431372549019596</v>
      </c>
      <c r="E22" s="8">
        <f>-SUM(D21:E21)*E18</f>
        <v>-0.98039215686274517</v>
      </c>
      <c r="F22" s="8">
        <f>-SUM(F21:H21)*F18</f>
        <v>-2.7339911999658358E-2</v>
      </c>
      <c r="G22" s="8">
        <f>-SUM(F21:H21)*G18</f>
        <v>-2.050493399974377E-2</v>
      </c>
      <c r="H22" s="8">
        <f>-SUM(F21:H21)*H18</f>
        <v>-2.1871929599726687E-2</v>
      </c>
      <c r="I22" s="8">
        <f>-SUM(I21:K21)*I18</f>
        <v>-7.5354299805033054E-2</v>
      </c>
      <c r="J22" s="8">
        <f>-SUM(I21:K21)*J18</f>
        <v>-7.0644656067218495E-2</v>
      </c>
      <c r="K22" s="8">
        <f>-SUM(I21:K21)*K18</f>
        <v>-9.4192874756291317E-2</v>
      </c>
      <c r="L22" s="8">
        <f>-(L21+M21)*L18</f>
        <v>1.0337407722827734</v>
      </c>
      <c r="M22" s="8">
        <f>-(L21+M21)*M18</f>
        <v>0.73096511007016773</v>
      </c>
      <c r="N22" s="8"/>
      <c r="O22" s="8"/>
      <c r="P22" s="8"/>
      <c r="Q22" s="1"/>
    </row>
    <row r="23" spans="1:17" x14ac:dyDescent="0.25">
      <c r="A23" s="1"/>
      <c r="B23" s="8" t="s">
        <v>42</v>
      </c>
      <c r="C23" s="8">
        <f>D22/2</f>
        <v>-0.39215686274509798</v>
      </c>
      <c r="D23" s="8"/>
      <c r="E23" s="8">
        <f>F22/2</f>
        <v>-1.3669955999829179E-2</v>
      </c>
      <c r="F23" s="8">
        <f>E22/2</f>
        <v>-0.49019607843137258</v>
      </c>
      <c r="G23" s="8"/>
      <c r="H23" s="8">
        <f>I22/2</f>
        <v>-3.7677149902516527E-2</v>
      </c>
      <c r="I23" s="8">
        <f>H22/2</f>
        <v>-1.0935964799863343E-2</v>
      </c>
      <c r="J23" s="8"/>
      <c r="K23" s="8">
        <f>L22/2</f>
        <v>0.5168703861413867</v>
      </c>
      <c r="L23" s="8">
        <f>K22/2</f>
        <v>-4.7096437378145659E-2</v>
      </c>
      <c r="M23" s="8"/>
      <c r="N23" s="8">
        <f>M22/2</f>
        <v>0.36548255503508387</v>
      </c>
      <c r="O23" s="8"/>
      <c r="P23" s="8"/>
      <c r="Q23" s="1"/>
    </row>
    <row r="24" spans="1:17" x14ac:dyDescent="0.25">
      <c r="A24" s="1"/>
      <c r="B24" s="8" t="s">
        <v>41</v>
      </c>
      <c r="C24" s="8"/>
      <c r="D24" s="8">
        <f>-SUM(D23:E23)*D18</f>
        <v>6.0755359999240793E-3</v>
      </c>
      <c r="E24" s="8">
        <f>-SUM(D23:E23)*E18</f>
        <v>7.5944199999050995E-3</v>
      </c>
      <c r="F24" s="8">
        <f>-SUM(F23:H23)*F18</f>
        <v>0.20700910915054477</v>
      </c>
      <c r="G24" s="8">
        <f>-SUM(F23:H23)*G18</f>
        <v>0.15525683186290859</v>
      </c>
      <c r="H24" s="8">
        <f>-SUM(F23:H23)*H18</f>
        <v>0.16560728732043581</v>
      </c>
      <c r="I24" s="8">
        <f>-SUM(I23:K23)*I18</f>
        <v>-0.15872452434243869</v>
      </c>
      <c r="J24" s="8">
        <f>-SUM(I23:K23)*J18</f>
        <v>-0.14880424157103628</v>
      </c>
      <c r="K24" s="8">
        <f>-SUM(I23:K23)*K18</f>
        <v>-0.19840565542804836</v>
      </c>
      <c r="L24" s="8">
        <f>-(L23+M23)*L18</f>
        <v>2.7588454276662556E-2</v>
      </c>
      <c r="M24" s="8">
        <f>-(L23+M23)*M18</f>
        <v>1.9507983101483103E-2</v>
      </c>
      <c r="N24" s="8"/>
      <c r="O24" s="8"/>
      <c r="P24" s="8"/>
      <c r="Q24" s="1"/>
    </row>
    <row r="25" spans="1:17" x14ac:dyDescent="0.25">
      <c r="A25" s="1"/>
      <c r="B25" s="8" t="s">
        <v>42</v>
      </c>
      <c r="C25" s="8">
        <f t="shared" ref="C25" si="0">D24/2</f>
        <v>3.0377679999620396E-3</v>
      </c>
      <c r="D25" s="8"/>
      <c r="E25" s="8">
        <f t="shared" ref="E25" si="1">F24/2</f>
        <v>0.10350455457527238</v>
      </c>
      <c r="F25" s="8">
        <f t="shared" ref="F25" si="2">E24/2</f>
        <v>3.7972099999525498E-3</v>
      </c>
      <c r="G25" s="8"/>
      <c r="H25" s="8">
        <f t="shared" ref="H25" si="3">I24/2</f>
        <v>-7.9362262171219347E-2</v>
      </c>
      <c r="I25" s="8">
        <f t="shared" ref="I25" si="4">H24/2</f>
        <v>8.2803643660217904E-2</v>
      </c>
      <c r="J25" s="8"/>
      <c r="K25" s="8">
        <f t="shared" ref="K25" si="5">L24/2</f>
        <v>1.3794227138331278E-2</v>
      </c>
      <c r="L25" s="8">
        <f t="shared" ref="L25" si="6">K24/2</f>
        <v>-9.920282771402418E-2</v>
      </c>
      <c r="M25" s="8"/>
      <c r="N25" s="8">
        <f t="shared" ref="N25" si="7">M24/2</f>
        <v>9.7539915507415514E-3</v>
      </c>
      <c r="O25" s="8"/>
      <c r="P25" s="8"/>
      <c r="Q25" s="1"/>
    </row>
    <row r="26" spans="1:17" x14ac:dyDescent="0.25">
      <c r="A26" s="1"/>
      <c r="B26" s="8" t="s">
        <v>41</v>
      </c>
      <c r="C26" s="8"/>
      <c r="D26" s="8">
        <f>-SUM(D25:E25)*D18</f>
        <v>-4.6002024255676614E-2</v>
      </c>
      <c r="E26" s="8">
        <f>-SUM(D25:E25)*E18</f>
        <v>-5.750253031959577E-2</v>
      </c>
      <c r="F26" s="8">
        <f>-SUM(F25:H25)*F18</f>
        <v>2.9633353792653645E-2</v>
      </c>
      <c r="G26" s="8">
        <f>-SUM(F25:H25)*G18</f>
        <v>2.2225015344490236E-2</v>
      </c>
      <c r="H26" s="8">
        <f>-SUM(F25:H25)*H18</f>
        <v>2.3706683034122919E-2</v>
      </c>
      <c r="I26" s="8">
        <f>-SUM(I25:K25)*I18</f>
        <v>-3.0305214368172295E-2</v>
      </c>
      <c r="J26" s="8">
        <f>-SUM(I25:K25)*J18</f>
        <v>-2.8411138470161527E-2</v>
      </c>
      <c r="K26" s="8">
        <f>-SUM(I25:K25)*K18</f>
        <v>-3.7881517960215369E-2</v>
      </c>
      <c r="L26" s="8">
        <f>-(L25+M25)*L18</f>
        <v>5.8111671049113828E-2</v>
      </c>
      <c r="M26" s="8">
        <f>-(L25+M25)*M18</f>
        <v>4.1091156664910353E-2</v>
      </c>
      <c r="N26" s="8"/>
      <c r="O26" s="8"/>
      <c r="P26" s="8"/>
      <c r="Q26" s="1"/>
    </row>
    <row r="27" spans="1:17" x14ac:dyDescent="0.25">
      <c r="A27" s="1"/>
      <c r="B27" s="8" t="s">
        <v>42</v>
      </c>
      <c r="C27" s="8">
        <f t="shared" ref="C27" si="8">D26/2</f>
        <v>-2.3001012127838307E-2</v>
      </c>
      <c r="D27" s="8"/>
      <c r="E27" s="8">
        <f t="shared" ref="E27" si="9">F26/2</f>
        <v>1.4816676896326823E-2</v>
      </c>
      <c r="F27" s="8">
        <f t="shared" ref="F27" si="10">E26/2</f>
        <v>-2.8751265159797885E-2</v>
      </c>
      <c r="G27" s="8"/>
      <c r="H27" s="8">
        <f t="shared" ref="H27" si="11">I26/2</f>
        <v>-1.5152607184086148E-2</v>
      </c>
      <c r="I27" s="8">
        <f t="shared" ref="I27" si="12">H26/2</f>
        <v>1.1853341517061459E-2</v>
      </c>
      <c r="J27" s="8"/>
      <c r="K27" s="8">
        <f t="shared" ref="K27" si="13">L26/2</f>
        <v>2.9055835524556914E-2</v>
      </c>
      <c r="L27" s="8">
        <f t="shared" ref="L27" si="14">K26/2</f>
        <v>-1.8940758980107684E-2</v>
      </c>
      <c r="M27" s="8"/>
      <c r="N27" s="8">
        <f t="shared" ref="N27" si="15">M26/2</f>
        <v>2.0545578332455176E-2</v>
      </c>
      <c r="O27" s="8"/>
      <c r="P27" s="8"/>
      <c r="Q27" s="1"/>
    </row>
    <row r="28" spans="1:17" x14ac:dyDescent="0.25">
      <c r="A28" s="1"/>
      <c r="B28" s="8" t="s">
        <v>41</v>
      </c>
      <c r="C28" s="8"/>
      <c r="D28" s="8">
        <f>-SUM(D27:E27)*D18</f>
        <v>-6.5851897317008093E-3</v>
      </c>
      <c r="E28" s="8">
        <f>-SUM(D27:E27)*E18</f>
        <v>-8.2314871646260133E-3</v>
      </c>
      <c r="F28" s="8">
        <f>-SUM(F27:H27)*F18</f>
        <v>1.7217204840738836E-2</v>
      </c>
      <c r="G28" s="8">
        <f>-SUM(F27:H27)*G18</f>
        <v>1.2912903630554126E-2</v>
      </c>
      <c r="H28" s="8">
        <f>-SUM(F27:H27)*H18</f>
        <v>1.3773763872591068E-2</v>
      </c>
      <c r="I28" s="8">
        <f>-SUM(I27:K27)*I18</f>
        <v>-1.2834251620899882E-2</v>
      </c>
      <c r="J28" s="8">
        <f>-SUM(I27:K27)*J18</f>
        <v>-1.2032110894593639E-2</v>
      </c>
      <c r="K28" s="8">
        <f>-SUM(I27:K27)*K18</f>
        <v>-1.6042814526124851E-2</v>
      </c>
      <c r="L28" s="8">
        <f>-(L27+M27)*L18</f>
        <v>1.1095239728907091E-2</v>
      </c>
      <c r="M28" s="8">
        <f>-(L27+M27)*M18</f>
        <v>7.8455192512005938E-3</v>
      </c>
      <c r="N28" s="8"/>
      <c r="O28" s="8"/>
      <c r="P28" s="8"/>
      <c r="Q28" s="1"/>
    </row>
    <row r="29" spans="1:17" x14ac:dyDescent="0.25">
      <c r="A29" s="1"/>
      <c r="B29" s="8" t="s">
        <v>42</v>
      </c>
      <c r="C29" s="8">
        <f t="shared" ref="C29" si="16">D28/2</f>
        <v>-3.2925948658504046E-3</v>
      </c>
      <c r="D29" s="8"/>
      <c r="E29" s="8">
        <f t="shared" ref="E29" si="17">F28/2</f>
        <v>8.608602420369418E-3</v>
      </c>
      <c r="F29" s="8">
        <f t="shared" ref="F29" si="18">E28/2</f>
        <v>-4.1157435823130067E-3</v>
      </c>
      <c r="G29" s="8"/>
      <c r="H29" s="8">
        <f t="shared" ref="H29" si="19">I28/2</f>
        <v>-6.4171258104499408E-3</v>
      </c>
      <c r="I29" s="8">
        <f t="shared" ref="I29" si="20">H28/2</f>
        <v>6.8868819362955342E-3</v>
      </c>
      <c r="J29" s="8"/>
      <c r="K29" s="8">
        <f t="shared" ref="K29" si="21">L28/2</f>
        <v>5.5476198644535454E-3</v>
      </c>
      <c r="L29" s="8">
        <f t="shared" ref="L29" si="22">K28/2</f>
        <v>-8.0214072630624255E-3</v>
      </c>
      <c r="M29" s="8"/>
      <c r="N29" s="8">
        <f t="shared" ref="N29" si="23">M28/2</f>
        <v>3.9227596256002969E-3</v>
      </c>
      <c r="O29" s="8"/>
      <c r="P29" s="8"/>
      <c r="Q29" s="1"/>
    </row>
    <row r="30" spans="1:17" x14ac:dyDescent="0.25">
      <c r="A30" s="1"/>
      <c r="B30" s="8" t="s">
        <v>41</v>
      </c>
      <c r="C30" s="8"/>
      <c r="D30" s="8">
        <f>-SUM(D29:E29)*D18</f>
        <v>-3.8260455201641857E-3</v>
      </c>
      <c r="E30" s="8">
        <f>-SUM(D29:E29)*E18</f>
        <v>-4.7825569002052327E-3</v>
      </c>
      <c r="F30" s="8">
        <f>-SUM(F29:H29)*F18</f>
        <v>4.1305370167697836E-3</v>
      </c>
      <c r="G30" s="8">
        <f>-SUM(F29:H29)*G18</f>
        <v>3.0979027625773377E-3</v>
      </c>
      <c r="H30" s="8">
        <f>-SUM(F29:H29)*H18</f>
        <v>3.3044296134158266E-3</v>
      </c>
      <c r="I30" s="8">
        <f>-SUM(I29:K29)*I18</f>
        <v>-3.9010201727840248E-3</v>
      </c>
      <c r="J30" s="8">
        <f>-SUM(I29:K29)*J18</f>
        <v>-3.6572064119850234E-3</v>
      </c>
      <c r="K30" s="8">
        <f>-SUM(I29:K29)*K18</f>
        <v>-4.876275215980031E-3</v>
      </c>
      <c r="L30" s="8">
        <f>-(L29+M29)*L18</f>
        <v>4.6988315853839198E-3</v>
      </c>
      <c r="M30" s="8">
        <f>-(L29+M29)*M18</f>
        <v>3.3225756776785057E-3</v>
      </c>
      <c r="N30" s="8"/>
      <c r="O30" s="8"/>
      <c r="P30" s="8"/>
      <c r="Q30" s="1"/>
    </row>
    <row r="31" spans="1:17" x14ac:dyDescent="0.25">
      <c r="A31" s="1"/>
      <c r="B31" s="8" t="s">
        <v>42</v>
      </c>
      <c r="C31" s="8">
        <f t="shared" ref="C31" si="24">D30/2</f>
        <v>-1.9130227600820929E-3</v>
      </c>
      <c r="D31" s="8"/>
      <c r="E31" s="8">
        <f t="shared" ref="E31" si="25">F30/2</f>
        <v>2.0652685083848918E-3</v>
      </c>
      <c r="F31" s="8">
        <f t="shared" ref="F31" si="26">E30/2</f>
        <v>-2.3912784501026164E-3</v>
      </c>
      <c r="G31" s="8"/>
      <c r="H31" s="8">
        <f t="shared" ref="H31" si="27">I30/2</f>
        <v>-1.9505100863920124E-3</v>
      </c>
      <c r="I31" s="8">
        <f t="shared" ref="I31" si="28">H30/2</f>
        <v>1.6522148067079133E-3</v>
      </c>
      <c r="J31" s="8"/>
      <c r="K31" s="8">
        <f t="shared" ref="K31" si="29">L30/2</f>
        <v>2.3494157926919599E-3</v>
      </c>
      <c r="L31" s="8">
        <f t="shared" ref="L31" si="30">K30/2</f>
        <v>-2.4381376079900155E-3</v>
      </c>
      <c r="M31" s="8"/>
      <c r="N31" s="8">
        <f t="shared" ref="N31" si="31">M30/2</f>
        <v>1.6612878388392528E-3</v>
      </c>
      <c r="O31" s="8"/>
      <c r="P31" s="8"/>
      <c r="Q31" s="1"/>
    </row>
    <row r="32" spans="1:17" x14ac:dyDescent="0.25">
      <c r="A32" s="1"/>
      <c r="B32" s="8" t="s">
        <v>41</v>
      </c>
      <c r="C32" s="8"/>
      <c r="D32" s="8">
        <f>-SUM(D31:E31)*D18</f>
        <v>-9.1789711483772959E-4</v>
      </c>
      <c r="E32" s="8">
        <f>-SUM(D31:E31)*E18</f>
        <v>-1.1473713935471622E-3</v>
      </c>
      <c r="F32" s="8">
        <f>-SUM(F31:H31)*F18</f>
        <v>1.7026621711743644E-3</v>
      </c>
      <c r="G32" s="8">
        <f>-SUM(F31:H31)*G18</f>
        <v>1.2769966283807733E-3</v>
      </c>
      <c r="H32" s="8">
        <f>-SUM(F31:H31)*H18</f>
        <v>1.3621297369394915E-3</v>
      </c>
      <c r="I32" s="8">
        <f>-SUM(I31:K31)*I18</f>
        <v>-1.2554135213803524E-3</v>
      </c>
      <c r="J32" s="8">
        <f>-SUM(I31:K31)*J18</f>
        <v>-1.1769501762940804E-3</v>
      </c>
      <c r="K32" s="8">
        <f>-SUM(I31:K31)*K18</f>
        <v>-1.5692669017254406E-3</v>
      </c>
      <c r="L32" s="8">
        <f>-(L31+M31)*L18</f>
        <v>1.4282279438286546E-3</v>
      </c>
      <c r="M32" s="8">
        <f>-(L31+M31)*M18</f>
        <v>1.0099096641613609E-3</v>
      </c>
      <c r="N32" s="8"/>
      <c r="O32" s="8"/>
      <c r="P32" s="8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5" t="s">
        <v>39</v>
      </c>
      <c r="C34" s="5" t="s">
        <v>43</v>
      </c>
      <c r="D34" s="5" t="s">
        <v>44</v>
      </c>
      <c r="E34" s="5" t="s">
        <v>45</v>
      </c>
      <c r="F34" s="5" t="s">
        <v>46</v>
      </c>
      <c r="G34" s="5" t="s">
        <v>47</v>
      </c>
      <c r="H34" s="5" t="s">
        <v>48</v>
      </c>
      <c r="I34" s="5" t="s">
        <v>49</v>
      </c>
      <c r="J34" s="5" t="s">
        <v>50</v>
      </c>
      <c r="K34" s="5" t="s">
        <v>51</v>
      </c>
      <c r="L34" s="5" t="s">
        <v>52</v>
      </c>
      <c r="M34" s="5" t="s">
        <v>53</v>
      </c>
      <c r="N34" s="5" t="s">
        <v>54</v>
      </c>
      <c r="O34" s="5" t="s">
        <v>55</v>
      </c>
      <c r="P34" s="5" t="s">
        <v>56</v>
      </c>
      <c r="Q34" s="1"/>
    </row>
    <row r="35" spans="1:17" x14ac:dyDescent="0.25">
      <c r="A35" s="1"/>
      <c r="B35" s="5" t="s">
        <v>90</v>
      </c>
      <c r="C35" s="5">
        <f>SUM(C19:C32)</f>
        <v>-9.8988072059803898</v>
      </c>
      <c r="D35" s="5">
        <f t="shared" ref="D35:N35" si="32">SUM(D19:D32)</f>
        <v>12.201467690924389</v>
      </c>
      <c r="E35" s="5">
        <f t="shared" si="32"/>
        <v>-12.201467690924384</v>
      </c>
      <c r="F35" s="5">
        <f t="shared" si="32"/>
        <v>20.721589045535957</v>
      </c>
      <c r="G35" s="5">
        <f t="shared" si="32"/>
        <v>2.8213235397585792</v>
      </c>
      <c r="H35" s="5">
        <f t="shared" si="32"/>
        <v>-23.542912585294527</v>
      </c>
      <c r="I35" s="5">
        <f t="shared" si="32"/>
        <v>23.398120687407356</v>
      </c>
      <c r="J35" s="5">
        <f t="shared" si="32"/>
        <v>-2.9117851271207007</v>
      </c>
      <c r="K35" s="5">
        <f t="shared" si="32"/>
        <v>-20.486335560286655</v>
      </c>
      <c r="L35" s="5">
        <f t="shared" si="32"/>
        <v>12.853111995062775</v>
      </c>
      <c r="M35" s="5">
        <f t="shared" si="32"/>
        <v>-0.85311199506277857</v>
      </c>
      <c r="N35" s="5">
        <f t="shared" si="32"/>
        <v>-0.42706095236346997</v>
      </c>
      <c r="O35" s="5">
        <v>0</v>
      </c>
      <c r="P35" s="5">
        <v>0</v>
      </c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 t="s">
        <v>91</v>
      </c>
      <c r="C37" s="5"/>
      <c r="D37" s="5"/>
      <c r="E37" s="5">
        <f>(-SUM(E35:F35)/L_BC)+(F3*L_BC/2)</f>
        <v>21.869969661347106</v>
      </c>
      <c r="F37" s="5">
        <f>(-SUM(E35:F35)/L_BC)-(F3*L_BC/2)</f>
        <v>-26.130030338652894</v>
      </c>
      <c r="G37" s="5">
        <f>-G35/L_CD</f>
        <v>-0.7053308849396448</v>
      </c>
      <c r="H37" s="5">
        <f>-(SUM(H35:I35)/L_CE)+(F3*L_CE/2)</f>
        <v>30.028958379577436</v>
      </c>
      <c r="I37" s="5">
        <f>-(SUM(H35:I35)/L_CE)-(F3*L_CE/2)</f>
        <v>-29.971041620422564</v>
      </c>
      <c r="J37" s="5">
        <f>-J35/L_EF</f>
        <v>0.72794628178017518</v>
      </c>
      <c r="K37" s="5">
        <f>-(SUM(K35:L35)/L_EG)+(F3*L_EG/2)</f>
        <v>25.908305891305972</v>
      </c>
      <c r="L37" s="5">
        <f>-(SUM(K35:L35)/L_EG)-(F3*L_EG/2)</f>
        <v>-22.091694108694028</v>
      </c>
      <c r="M37" s="5"/>
      <c r="N37" s="5"/>
      <c r="O37" s="5"/>
      <c r="P37" s="5"/>
      <c r="Q37" s="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 t="s">
        <v>65</v>
      </c>
      <c r="C39" s="1" t="s">
        <v>60</v>
      </c>
      <c r="D39" s="1"/>
      <c r="E39" s="1"/>
      <c r="F39" s="1"/>
      <c r="G39" s="1" t="s">
        <v>63</v>
      </c>
      <c r="H39" s="1"/>
      <c r="I39" s="1"/>
      <c r="J39" s="1" t="s">
        <v>64</v>
      </c>
      <c r="K39" s="1"/>
      <c r="L39" s="1"/>
      <c r="M39" s="1" t="s">
        <v>62</v>
      </c>
      <c r="N39" s="1" t="s">
        <v>61</v>
      </c>
      <c r="O39" s="1"/>
      <c r="P39" s="1"/>
      <c r="Q39" s="1"/>
    </row>
    <row r="40" spans="1:17" x14ac:dyDescent="0.25">
      <c r="A40" s="1"/>
      <c r="B40" s="1">
        <f>-D3*H1_</f>
        <v>-32</v>
      </c>
      <c r="C40" s="1">
        <f>-(SUM(C35:D35)+E37*S1_-(D3*H1_*H1_*0.5))/H1_</f>
        <v>-0.97814236724632764</v>
      </c>
      <c r="D40" s="1"/>
      <c r="E40" s="1"/>
      <c r="F40" s="1"/>
      <c r="G40" s="1">
        <f>G37</f>
        <v>-0.7053308849396448</v>
      </c>
      <c r="H40" s="1"/>
      <c r="I40" s="1"/>
      <c r="J40" s="1">
        <f>J37</f>
        <v>0.72794628178017518</v>
      </c>
      <c r="K40" s="1"/>
      <c r="L40" s="1"/>
      <c r="M40" s="1">
        <f>L37-(2*E3)</f>
        <v>-34.091694108694028</v>
      </c>
      <c r="N40" s="1">
        <f>-(SUM(M35:N35)+(M40*S3_))/H1_</f>
        <v>34.411737345550591</v>
      </c>
      <c r="O40" s="1"/>
      <c r="P40" s="1"/>
      <c r="Q40" s="1"/>
    </row>
    <row r="41" spans="1:17" x14ac:dyDescent="0.25">
      <c r="A41" s="1"/>
      <c r="B41" s="1" t="s">
        <v>7</v>
      </c>
      <c r="C41" s="1" t="s">
        <v>7</v>
      </c>
      <c r="D41" s="1"/>
      <c r="E41" s="1"/>
      <c r="F41" s="1"/>
      <c r="G41" s="1" t="s">
        <v>7</v>
      </c>
      <c r="H41" s="1"/>
      <c r="I41" s="1"/>
      <c r="J41" s="1" t="s">
        <v>7</v>
      </c>
      <c r="K41" s="1"/>
      <c r="L41" s="1"/>
      <c r="M41" s="1" t="s">
        <v>7</v>
      </c>
      <c r="N41" s="1" t="s">
        <v>7</v>
      </c>
      <c r="O41" s="1"/>
      <c r="P41" s="1"/>
      <c r="Q41" s="1"/>
    </row>
    <row r="42" spans="1:17" x14ac:dyDescent="0.25">
      <c r="A42" s="1"/>
      <c r="B42" s="1" t="s">
        <v>125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5" t="s">
        <v>77</v>
      </c>
      <c r="B44" s="5">
        <f>SUM(N40,J40,G40,B40:C40)</f>
        <v>1.4562103751447992</v>
      </c>
      <c r="C44" s="5" t="s">
        <v>7</v>
      </c>
      <c r="D44" s="5" t="s">
        <v>67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8" t="s">
        <v>1</v>
      </c>
      <c r="C51" s="8"/>
      <c r="D51" s="8" t="s">
        <v>0</v>
      </c>
      <c r="E51" s="8" t="s">
        <v>19</v>
      </c>
      <c r="F51" s="8" t="s">
        <v>18</v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8"/>
      <c r="C52" s="8"/>
      <c r="D52" s="8">
        <f>LW</f>
        <v>8</v>
      </c>
      <c r="E52" s="8">
        <f>1.2*W1_</f>
        <v>6</v>
      </c>
      <c r="F52" s="8">
        <f>1.2*W2_</f>
        <v>12</v>
      </c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8"/>
      <c r="C53" s="8"/>
      <c r="D53" s="8" t="s">
        <v>17</v>
      </c>
      <c r="E53" s="8" t="s">
        <v>17</v>
      </c>
      <c r="F53" s="8" t="s">
        <v>17</v>
      </c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8" t="s">
        <v>182</v>
      </c>
      <c r="D56" s="8" t="s">
        <v>183</v>
      </c>
      <c r="E56" s="8" t="s">
        <v>184</v>
      </c>
      <c r="F56" s="8" t="s">
        <v>185</v>
      </c>
      <c r="G56" s="8" t="s">
        <v>186</v>
      </c>
      <c r="H56" s="8" t="s">
        <v>187</v>
      </c>
      <c r="I56" s="8" t="s">
        <v>188</v>
      </c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8">
        <f>SQRT((S1_*S1_)+(H1_*H1_))</f>
        <v>5</v>
      </c>
      <c r="D57" s="8">
        <v>4</v>
      </c>
      <c r="E57" s="8">
        <f xml:space="preserve"> H1_</f>
        <v>4</v>
      </c>
      <c r="F57" s="8">
        <f xml:space="preserve"> S2_</f>
        <v>5</v>
      </c>
      <c r="G57" s="8">
        <f xml:space="preserve"> H1_</f>
        <v>4</v>
      </c>
      <c r="H57" s="8">
        <v>4</v>
      </c>
      <c r="I57" s="8">
        <f>SQRT((S3_*S3_)+(H1_*H1_))</f>
        <v>5.6568542494923806</v>
      </c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8" t="s">
        <v>13</v>
      </c>
      <c r="D58" s="8" t="s">
        <v>13</v>
      </c>
      <c r="E58" s="8" t="s">
        <v>13</v>
      </c>
      <c r="F58" s="8" t="s">
        <v>13</v>
      </c>
      <c r="G58" s="8" t="s">
        <v>13</v>
      </c>
      <c r="H58" s="8" t="s">
        <v>13</v>
      </c>
      <c r="I58" s="8" t="s">
        <v>13</v>
      </c>
      <c r="J58" s="1"/>
      <c r="K58" s="1"/>
      <c r="L58" s="1"/>
      <c r="M58" s="1"/>
      <c r="N58" s="1"/>
      <c r="O58" s="1"/>
      <c r="P58" s="1"/>
    </row>
    <row r="59" spans="1:16" ht="15.75" thickBo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6.5" thickTop="1" thickBot="1" x14ac:dyDescent="0.3">
      <c r="A60" s="4" t="s">
        <v>66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.75" thickTop="1" x14ac:dyDescent="0.25">
      <c r="B61" s="8" t="s">
        <v>39</v>
      </c>
      <c r="C61" s="8" t="s">
        <v>43</v>
      </c>
      <c r="D61" s="8" t="s">
        <v>44</v>
      </c>
      <c r="E61" s="8" t="s">
        <v>45</v>
      </c>
      <c r="F61" s="8" t="s">
        <v>46</v>
      </c>
      <c r="G61" s="8" t="s">
        <v>47</v>
      </c>
      <c r="H61" s="8" t="s">
        <v>48</v>
      </c>
      <c r="I61" s="8" t="s">
        <v>49</v>
      </c>
      <c r="J61" s="8" t="s">
        <v>50</v>
      </c>
      <c r="K61" s="8" t="s">
        <v>51</v>
      </c>
      <c r="L61" s="8" t="s">
        <v>52</v>
      </c>
      <c r="M61" s="8" t="s">
        <v>53</v>
      </c>
      <c r="N61" s="8" t="s">
        <v>54</v>
      </c>
      <c r="O61" s="8" t="s">
        <v>55</v>
      </c>
      <c r="P61" s="8" t="s">
        <v>56</v>
      </c>
    </row>
    <row r="62" spans="1:16" x14ac:dyDescent="0.25">
      <c r="B62" s="9" t="s">
        <v>68</v>
      </c>
      <c r="C62" s="8">
        <f>C57/H1_</f>
        <v>1.25</v>
      </c>
      <c r="D62" s="8">
        <f>C57/H1_</f>
        <v>1.25</v>
      </c>
      <c r="E62" s="9">
        <f>S1_/H1_</f>
        <v>0.75</v>
      </c>
      <c r="F62" s="9">
        <f>S1_/H1_</f>
        <v>0.75</v>
      </c>
      <c r="G62" s="9">
        <v>1</v>
      </c>
      <c r="H62" s="9">
        <v>0</v>
      </c>
      <c r="I62" s="9">
        <v>0</v>
      </c>
      <c r="J62" s="9">
        <v>1</v>
      </c>
      <c r="K62" s="9">
        <f>S3_/H1_</f>
        <v>1</v>
      </c>
      <c r="L62" s="9">
        <f>S3_/H1_</f>
        <v>1</v>
      </c>
      <c r="M62" s="9">
        <f>I57/H1_</f>
        <v>1.4142135623730951</v>
      </c>
      <c r="N62" s="9">
        <f>I57/H1_</f>
        <v>1.4142135623730951</v>
      </c>
      <c r="O62" s="9">
        <v>1</v>
      </c>
      <c r="P62" s="9">
        <v>1</v>
      </c>
    </row>
    <row r="63" spans="1:16" x14ac:dyDescent="0.25">
      <c r="B63" s="9" t="s">
        <v>190</v>
      </c>
      <c r="C63" s="9">
        <f>6*EI/H1_/C57</f>
        <v>5400</v>
      </c>
      <c r="D63" s="9">
        <f>6*EI/H1_/C57</f>
        <v>5400</v>
      </c>
      <c r="E63" s="9">
        <f>-6*EI*E62/D57/D57</f>
        <v>-5062.5</v>
      </c>
      <c r="F63" s="9">
        <f>-6*EI*F62/D57/D57</f>
        <v>-5062.5</v>
      </c>
      <c r="G63" s="9">
        <f>3*EI*G62/E57/E57</f>
        <v>3375</v>
      </c>
      <c r="H63" s="9">
        <v>0</v>
      </c>
      <c r="I63" s="9">
        <v>0</v>
      </c>
      <c r="J63" s="9">
        <f>3*EI*J62/G57/G57</f>
        <v>3375</v>
      </c>
      <c r="K63" s="9">
        <f>-6*EI*K62/H57/H57</f>
        <v>-6750</v>
      </c>
      <c r="L63" s="9">
        <f>-6*EI*L62/H57/H57</f>
        <v>-6750</v>
      </c>
      <c r="M63" s="9">
        <f>6*EI*M62/I57/I57</f>
        <v>4772.9707730091959</v>
      </c>
      <c r="N63" s="9">
        <f>6*EI*N62/I57/I57</f>
        <v>4772.9707730091959</v>
      </c>
      <c r="O63" s="9">
        <v>0</v>
      </c>
      <c r="P63" s="9">
        <v>0</v>
      </c>
    </row>
    <row r="64" spans="1:16" x14ac:dyDescent="0.25">
      <c r="B64" s="8" t="s">
        <v>70</v>
      </c>
      <c r="C64" s="9">
        <f>C63*100/C65</f>
        <v>80</v>
      </c>
      <c r="D64" s="9">
        <f>D63*100/C65</f>
        <v>80</v>
      </c>
      <c r="E64" s="9">
        <f>E63*100/C65</f>
        <v>-75</v>
      </c>
      <c r="F64" s="9">
        <f>F63*100/C65</f>
        <v>-75</v>
      </c>
      <c r="G64" s="9">
        <f>G63*100/C65</f>
        <v>50</v>
      </c>
      <c r="H64" s="9">
        <f>H63*100/C65</f>
        <v>0</v>
      </c>
      <c r="I64" s="9">
        <f>I63*100/C65</f>
        <v>0</v>
      </c>
      <c r="J64" s="9">
        <f>J63*100/C65</f>
        <v>50</v>
      </c>
      <c r="K64" s="9">
        <f>K63*100/C65</f>
        <v>-100</v>
      </c>
      <c r="L64" s="9">
        <f>L63*100/C65</f>
        <v>-100</v>
      </c>
      <c r="M64" s="9">
        <f>M63*100/C65</f>
        <v>70.710678118654755</v>
      </c>
      <c r="N64" s="9">
        <f>N63*100/C65</f>
        <v>70.710678118654755</v>
      </c>
      <c r="O64" s="9">
        <f>O63*100/C65</f>
        <v>0</v>
      </c>
      <c r="P64" s="9">
        <f>P63*100/C65</f>
        <v>0</v>
      </c>
    </row>
    <row r="65" spans="2:16" x14ac:dyDescent="0.25">
      <c r="B65" s="1" t="s">
        <v>123</v>
      </c>
      <c r="C65">
        <f>MAX(ABS(P63),ABS(O63),ABS(N63),ABS(M63),ABS(L63),ABS(K63),ABS(J63),ABS(I63),ABS(H63),ABS(G63),ABS(F63),ABS(E63),ABS(D63),ABS(C63))</f>
        <v>6750</v>
      </c>
    </row>
    <row r="67" spans="2:1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3"/>
      <c r="M69" s="1"/>
      <c r="N69" s="1"/>
      <c r="O69" s="1"/>
      <c r="P69" s="1"/>
    </row>
    <row r="70" spans="2:16" x14ac:dyDescent="0.25">
      <c r="B70" s="8" t="s">
        <v>28</v>
      </c>
      <c r="C70" s="8" t="s">
        <v>29</v>
      </c>
      <c r="D70" s="8" t="s">
        <v>30</v>
      </c>
      <c r="E70" s="8" t="s">
        <v>30</v>
      </c>
      <c r="F70" s="8" t="s">
        <v>31</v>
      </c>
      <c r="G70" s="8" t="s">
        <v>31</v>
      </c>
      <c r="H70" s="8" t="s">
        <v>31</v>
      </c>
      <c r="I70" s="8" t="s">
        <v>33</v>
      </c>
      <c r="J70" s="8" t="s">
        <v>33</v>
      </c>
      <c r="K70" s="8" t="s">
        <v>33</v>
      </c>
      <c r="L70" s="8" t="s">
        <v>35</v>
      </c>
      <c r="M70" s="8" t="s">
        <v>35</v>
      </c>
      <c r="N70" s="8" t="s">
        <v>36</v>
      </c>
      <c r="O70" s="8" t="s">
        <v>32</v>
      </c>
      <c r="P70" s="8" t="s">
        <v>34</v>
      </c>
    </row>
    <row r="71" spans="2:16" x14ac:dyDescent="0.25">
      <c r="B71" s="8" t="s">
        <v>39</v>
      </c>
      <c r="C71" s="8" t="s">
        <v>43</v>
      </c>
      <c r="D71" s="8" t="s">
        <v>44</v>
      </c>
      <c r="E71" s="8" t="s">
        <v>45</v>
      </c>
      <c r="F71" s="8" t="s">
        <v>46</v>
      </c>
      <c r="G71" s="8" t="s">
        <v>47</v>
      </c>
      <c r="H71" s="8" t="s">
        <v>48</v>
      </c>
      <c r="I71" s="8" t="s">
        <v>49</v>
      </c>
      <c r="J71" s="8" t="s">
        <v>50</v>
      </c>
      <c r="K71" s="8" t="s">
        <v>51</v>
      </c>
      <c r="L71" s="8" t="s">
        <v>52</v>
      </c>
      <c r="M71" s="8" t="s">
        <v>53</v>
      </c>
      <c r="N71" s="8" t="s">
        <v>54</v>
      </c>
      <c r="O71" s="8" t="s">
        <v>55</v>
      </c>
      <c r="P71" s="8" t="s">
        <v>56</v>
      </c>
    </row>
    <row r="72" spans="2:16" x14ac:dyDescent="0.25">
      <c r="B72" s="8" t="s">
        <v>57</v>
      </c>
      <c r="C72" s="8">
        <f xml:space="preserve"> 4 * EI/L_AB</f>
        <v>14400</v>
      </c>
      <c r="D72" s="8">
        <f xml:space="preserve"> 4 * EI/L_AB</f>
        <v>14400</v>
      </c>
      <c r="E72" s="8">
        <f xml:space="preserve"> 4 * EI/L_BC</f>
        <v>18000</v>
      </c>
      <c r="F72" s="8">
        <f xml:space="preserve"> 4 * EI/L_BC</f>
        <v>18000</v>
      </c>
      <c r="G72" s="8">
        <f>3* EI / L_CD</f>
        <v>13500</v>
      </c>
      <c r="H72" s="8">
        <f>4*EI/L_CE</f>
        <v>14400</v>
      </c>
      <c r="I72" s="8">
        <f>4*EI/L_CE</f>
        <v>14400</v>
      </c>
      <c r="J72" s="8">
        <f>3*EI/L_EF</f>
        <v>13500</v>
      </c>
      <c r="K72" s="8">
        <f>4*EI/L_EG</f>
        <v>18000</v>
      </c>
      <c r="L72" s="8">
        <f>4*EI/L_EG</f>
        <v>18000</v>
      </c>
      <c r="M72" s="8">
        <f>4*EI/L_GH</f>
        <v>12727.922061357855</v>
      </c>
      <c r="N72" s="8">
        <f>4*EI/L_GH</f>
        <v>12727.922061357855</v>
      </c>
      <c r="O72" s="8">
        <f>3* EI / L_CD</f>
        <v>13500</v>
      </c>
      <c r="P72" s="8">
        <f>3*EI/L_EF</f>
        <v>13500</v>
      </c>
    </row>
    <row r="73" spans="2:16" x14ac:dyDescent="0.25">
      <c r="B73" s="8" t="s">
        <v>40</v>
      </c>
      <c r="C73" s="8">
        <v>0</v>
      </c>
      <c r="D73" s="8">
        <f>D72/SUM(D72:E72)</f>
        <v>0.44444444444444442</v>
      </c>
      <c r="E73" s="8">
        <f>E72/SUM(D72:E72)</f>
        <v>0.55555555555555558</v>
      </c>
      <c r="F73" s="8">
        <f>F72/SUM(F72:H72)</f>
        <v>0.39215686274509803</v>
      </c>
      <c r="G73" s="8">
        <f>G72/SUM(F72:H72)</f>
        <v>0.29411764705882354</v>
      </c>
      <c r="H73" s="8">
        <f>H72/SUM(F72:H72)</f>
        <v>0.31372549019607843</v>
      </c>
      <c r="I73" s="8">
        <f>I72/SUM(I72:K72)</f>
        <v>0.31372549019607843</v>
      </c>
      <c r="J73" s="8">
        <f>J72/SUM(I72:K72)</f>
        <v>0.29411764705882354</v>
      </c>
      <c r="K73" s="8">
        <f>K72/SUM(I72:K72)</f>
        <v>0.39215686274509803</v>
      </c>
      <c r="L73" s="8">
        <f>L72/SUM(L72:M72)</f>
        <v>0.58578643762690497</v>
      </c>
      <c r="M73" s="8">
        <f>M72/SUM(L72:M72)</f>
        <v>0.41421356237309503</v>
      </c>
      <c r="N73" s="8">
        <v>0</v>
      </c>
      <c r="O73" s="8">
        <v>1</v>
      </c>
      <c r="P73" s="8">
        <v>1</v>
      </c>
    </row>
    <row r="74" spans="2:16" x14ac:dyDescent="0.25">
      <c r="B74" s="8" t="s">
        <v>38</v>
      </c>
      <c r="C74" s="8">
        <f>C64</f>
        <v>80</v>
      </c>
      <c r="D74" s="8">
        <f t="shared" ref="D74:P74" si="33">D64</f>
        <v>80</v>
      </c>
      <c r="E74" s="8">
        <f t="shared" si="33"/>
        <v>-75</v>
      </c>
      <c r="F74" s="8">
        <f t="shared" si="33"/>
        <v>-75</v>
      </c>
      <c r="G74" s="8">
        <f t="shared" si="33"/>
        <v>50</v>
      </c>
      <c r="H74" s="8">
        <f t="shared" si="33"/>
        <v>0</v>
      </c>
      <c r="I74" s="8">
        <f t="shared" si="33"/>
        <v>0</v>
      </c>
      <c r="J74" s="8">
        <f t="shared" si="33"/>
        <v>50</v>
      </c>
      <c r="K74" s="8">
        <f t="shared" si="33"/>
        <v>-100</v>
      </c>
      <c r="L74" s="8">
        <f t="shared" si="33"/>
        <v>-100</v>
      </c>
      <c r="M74" s="8">
        <f t="shared" si="33"/>
        <v>70.710678118654755</v>
      </c>
      <c r="N74" s="8">
        <f t="shared" si="33"/>
        <v>70.710678118654755</v>
      </c>
      <c r="O74" s="8">
        <f t="shared" si="33"/>
        <v>0</v>
      </c>
      <c r="P74" s="8">
        <f t="shared" si="33"/>
        <v>0</v>
      </c>
    </row>
    <row r="75" spans="2:16" x14ac:dyDescent="0.25">
      <c r="B75" s="8" t="s">
        <v>41</v>
      </c>
      <c r="C75" s="8"/>
      <c r="D75" s="8">
        <f>-SUM(D74:E74)*D73</f>
        <v>-2.2222222222222223</v>
      </c>
      <c r="E75" s="8">
        <f>-SUM(D74:E74)*E73</f>
        <v>-2.7777777777777777</v>
      </c>
      <c r="F75" s="8">
        <f>-SUM(F74:H74)*F73</f>
        <v>9.8039215686274517</v>
      </c>
      <c r="G75" s="8">
        <f>-SUM(F74:H74)*G73</f>
        <v>7.3529411764705888</v>
      </c>
      <c r="H75" s="8">
        <f>-SUM(F74:H74)*H73</f>
        <v>7.8431372549019605</v>
      </c>
      <c r="I75" s="8">
        <f>-SUM(I74:K74)*I73</f>
        <v>15.686274509803921</v>
      </c>
      <c r="J75" s="8">
        <f>-SUM(I74:K74)*J73</f>
        <v>14.705882352941178</v>
      </c>
      <c r="K75" s="8">
        <f>-SUM(I74:K74)*K73</f>
        <v>19.607843137254903</v>
      </c>
      <c r="L75" s="8">
        <f>-(L74+M74)*L73</f>
        <v>17.15728752538099</v>
      </c>
      <c r="M75" s="8">
        <f>-(L74+M74)*M73</f>
        <v>12.132034355964256</v>
      </c>
      <c r="N75" s="8"/>
      <c r="O75" s="8"/>
      <c r="P75" s="8"/>
    </row>
    <row r="76" spans="2:16" x14ac:dyDescent="0.25">
      <c r="B76" s="8" t="s">
        <v>42</v>
      </c>
      <c r="C76" s="8">
        <f>D75/2</f>
        <v>-1.1111111111111112</v>
      </c>
      <c r="D76" s="8"/>
      <c r="E76" s="8">
        <f>F75/2</f>
        <v>4.9019607843137258</v>
      </c>
      <c r="F76" s="8">
        <f>E75/2</f>
        <v>-1.3888888888888888</v>
      </c>
      <c r="G76" s="8"/>
      <c r="H76" s="8">
        <f>I75/2</f>
        <v>7.8431372549019605</v>
      </c>
      <c r="I76" s="8">
        <f>H75/2</f>
        <v>3.9215686274509802</v>
      </c>
      <c r="J76" s="8"/>
      <c r="K76" s="8">
        <f>L75/2</f>
        <v>8.5786437626904952</v>
      </c>
      <c r="L76" s="8">
        <f>K75/2</f>
        <v>9.8039215686274517</v>
      </c>
      <c r="M76" s="8"/>
      <c r="N76" s="8">
        <f>M75/2</f>
        <v>6.0660171779821281</v>
      </c>
      <c r="O76" s="8"/>
      <c r="P76" s="8"/>
    </row>
    <row r="77" spans="2:16" x14ac:dyDescent="0.25">
      <c r="B77" s="8" t="s">
        <v>41</v>
      </c>
      <c r="C77" s="8"/>
      <c r="D77" s="8">
        <f>-SUM(D76:E76)*D73</f>
        <v>-2.1786492374727668</v>
      </c>
      <c r="E77" s="8">
        <f>-SUM(D76:E76)*E73</f>
        <v>-2.723311546840959</v>
      </c>
      <c r="F77" s="8">
        <f>-SUM(F76:H76)*F73</f>
        <v>-2.5310777905933617</v>
      </c>
      <c r="G77" s="8">
        <f>-SUM(F76:H76)*G73</f>
        <v>-1.8983083429450212</v>
      </c>
      <c r="H77" s="8">
        <f>-SUM(F76:H76)*H73</f>
        <v>-2.0248622324746894</v>
      </c>
      <c r="I77" s="8">
        <f>-SUM(I76:K76)*I73</f>
        <v>-3.9216352596522275</v>
      </c>
      <c r="J77" s="8">
        <f>-SUM(I76:K76)*J73</f>
        <v>-3.6765330559239637</v>
      </c>
      <c r="K77" s="8">
        <f>-SUM(I76:K76)*K73</f>
        <v>-4.9020440745652847</v>
      </c>
      <c r="L77" s="8">
        <f>-(L76+M76)*L73</f>
        <v>-5.7430042904598526</v>
      </c>
      <c r="M77" s="8">
        <f>-(L76+M76)*M73</f>
        <v>-4.0609172781675991</v>
      </c>
      <c r="N77" s="8"/>
      <c r="O77" s="8"/>
      <c r="P77" s="8"/>
    </row>
    <row r="78" spans="2:16" x14ac:dyDescent="0.25">
      <c r="B78" s="8" t="s">
        <v>42</v>
      </c>
      <c r="C78" s="8">
        <f>D77/2</f>
        <v>-1.0893246187363834</v>
      </c>
      <c r="D78" s="8"/>
      <c r="E78" s="8">
        <f>F77/2</f>
        <v>-1.2655388952966808</v>
      </c>
      <c r="F78" s="8">
        <f>E77/2</f>
        <v>-1.3616557734204795</v>
      </c>
      <c r="G78" s="8"/>
      <c r="H78" s="8">
        <f>I77/2</f>
        <v>-1.9608176298261137</v>
      </c>
      <c r="I78" s="8">
        <f>H77/2</f>
        <v>-1.0124311162373447</v>
      </c>
      <c r="J78" s="8"/>
      <c r="K78" s="8">
        <f>L77/2</f>
        <v>-2.8715021452299263</v>
      </c>
      <c r="L78" s="8">
        <f>K77/2</f>
        <v>-2.4510220372826423</v>
      </c>
      <c r="M78" s="8"/>
      <c r="N78" s="8">
        <f>M77/2</f>
        <v>-2.0304586390837995</v>
      </c>
      <c r="O78" s="8"/>
      <c r="P78" s="8"/>
    </row>
    <row r="79" spans="2:16" x14ac:dyDescent="0.25">
      <c r="B79" s="8" t="s">
        <v>41</v>
      </c>
      <c r="C79" s="8"/>
      <c r="D79" s="8">
        <f>-SUM(D78:E78)*D73</f>
        <v>0.56246173124296928</v>
      </c>
      <c r="E79" s="8">
        <f>-SUM(D78:E78)*E73</f>
        <v>0.70307716405371157</v>
      </c>
      <c r="F79" s="8">
        <f>-SUM(F78:H78)*F73</f>
        <v>1.302930746371213</v>
      </c>
      <c r="G79" s="8">
        <f>-SUM(F78:H78)*G73</f>
        <v>0.97719805977840979</v>
      </c>
      <c r="H79" s="8">
        <f>-SUM(F78:H78)*H73</f>
        <v>1.0423445970969702</v>
      </c>
      <c r="I79" s="8">
        <f>-SUM(I78:K78)*I73</f>
        <v>1.2184888663426732</v>
      </c>
      <c r="J79" s="8">
        <f>-SUM(I78:K78)*J73</f>
        <v>1.1423333121962562</v>
      </c>
      <c r="K79" s="8">
        <f>-SUM(I78:K78)*K73</f>
        <v>1.5231110829283414</v>
      </c>
      <c r="L79" s="8">
        <f>-(L78+M78)*L73</f>
        <v>1.435775467764838</v>
      </c>
      <c r="M79" s="8">
        <f>-(L78+M78)*M73</f>
        <v>1.0152465695178043</v>
      </c>
      <c r="N79" s="8"/>
      <c r="O79" s="8"/>
      <c r="P79" s="8"/>
    </row>
    <row r="80" spans="2:16" x14ac:dyDescent="0.25">
      <c r="B80" s="8" t="s">
        <v>42</v>
      </c>
      <c r="C80" s="8">
        <f t="shared" ref="C80" si="34">D79/2</f>
        <v>0.28123086562148464</v>
      </c>
      <c r="D80" s="8"/>
      <c r="E80" s="8">
        <f t="shared" ref="E80" si="35">F79/2</f>
        <v>0.65146537318560649</v>
      </c>
      <c r="F80" s="8">
        <f t="shared" ref="F80" si="36">E79/2</f>
        <v>0.35153858202685578</v>
      </c>
      <c r="G80" s="8"/>
      <c r="H80" s="8">
        <f t="shared" ref="H80" si="37">I79/2</f>
        <v>0.60924443317133659</v>
      </c>
      <c r="I80" s="8">
        <f t="shared" ref="I80" si="38">H79/2</f>
        <v>0.52117229854848512</v>
      </c>
      <c r="J80" s="8"/>
      <c r="K80" s="8">
        <f t="shared" ref="K80" si="39">L79/2</f>
        <v>0.717887733882419</v>
      </c>
      <c r="L80" s="8">
        <f t="shared" ref="L80" si="40">K79/2</f>
        <v>0.7615555414641707</v>
      </c>
      <c r="M80" s="8"/>
      <c r="N80" s="8">
        <f t="shared" ref="N80" si="41">M79/2</f>
        <v>0.50762328475890217</v>
      </c>
      <c r="O80" s="8"/>
      <c r="P80" s="8"/>
    </row>
    <row r="81" spans="2:16" x14ac:dyDescent="0.25">
      <c r="B81" s="8" t="s">
        <v>41</v>
      </c>
      <c r="C81" s="8"/>
      <c r="D81" s="8">
        <f>-SUM(D80:E80)*D73</f>
        <v>-0.28954016586026954</v>
      </c>
      <c r="E81" s="8">
        <f>-SUM(D80:E80)*E73</f>
        <v>-0.36192520732533695</v>
      </c>
      <c r="F81" s="8">
        <f>-SUM(F80:H80)*F73</f>
        <v>-0.37677765301889898</v>
      </c>
      <c r="G81" s="8">
        <f>-SUM(F80:H80)*G73</f>
        <v>-0.28258323976417427</v>
      </c>
      <c r="H81" s="8">
        <f>-SUM(F80:H80)*H73</f>
        <v>-0.30142212241511918</v>
      </c>
      <c r="I81" s="8">
        <f>-SUM(I80:K80)*I73</f>
        <v>-0.38872471605675418</v>
      </c>
      <c r="J81" s="8">
        <f>-SUM(I80:K80)*J73</f>
        <v>-0.3644294213032071</v>
      </c>
      <c r="K81" s="8">
        <f>-SUM(I80:K80)*K73</f>
        <v>-0.48590589507094273</v>
      </c>
      <c r="L81" s="8">
        <f>-(L80+M80)*L73</f>
        <v>-0.44610890768932526</v>
      </c>
      <c r="M81" s="8">
        <f>-(L80+M80)*M73</f>
        <v>-0.31544663377484544</v>
      </c>
      <c r="N81" s="8"/>
      <c r="O81" s="8"/>
      <c r="P81" s="8"/>
    </row>
    <row r="82" spans="2:16" x14ac:dyDescent="0.25">
      <c r="B82" s="8" t="s">
        <v>42</v>
      </c>
      <c r="C82" s="8">
        <f t="shared" ref="C82" si="42">D81/2</f>
        <v>-0.14477008293013477</v>
      </c>
      <c r="D82" s="8"/>
      <c r="E82" s="8">
        <f t="shared" ref="E82" si="43">F81/2</f>
        <v>-0.18838882650944949</v>
      </c>
      <c r="F82" s="8">
        <f t="shared" ref="F82" si="44">E81/2</f>
        <v>-0.18096260366266848</v>
      </c>
      <c r="G82" s="8"/>
      <c r="H82" s="8">
        <f t="shared" ref="H82" si="45">I81/2</f>
        <v>-0.19436235802837709</v>
      </c>
      <c r="I82" s="8">
        <f t="shared" ref="I82" si="46">H81/2</f>
        <v>-0.15071106120755959</v>
      </c>
      <c r="J82" s="8"/>
      <c r="K82" s="8">
        <f t="shared" ref="K82" si="47">L81/2</f>
        <v>-0.22305445384466263</v>
      </c>
      <c r="L82" s="8">
        <f t="shared" ref="L82" si="48">K81/2</f>
        <v>-0.24295294753547136</v>
      </c>
      <c r="M82" s="8"/>
      <c r="N82" s="8">
        <f t="shared" ref="N82" si="49">M81/2</f>
        <v>-0.15772331688742272</v>
      </c>
      <c r="O82" s="8"/>
      <c r="P82" s="8"/>
    </row>
    <row r="83" spans="2:16" x14ac:dyDescent="0.25">
      <c r="B83" s="8" t="s">
        <v>41</v>
      </c>
      <c r="C83" s="8"/>
      <c r="D83" s="8">
        <f>-SUM(D82:E82)*D73</f>
        <v>8.3728367337533097E-2</v>
      </c>
      <c r="E83" s="8">
        <f>-SUM(D82:E82)*E73</f>
        <v>0.1046604591719164</v>
      </c>
      <c r="F83" s="8">
        <f>-SUM(F82:H82)*F73</f>
        <v>0.14718625948668454</v>
      </c>
      <c r="G83" s="8">
        <f>-SUM(F82:H82)*G73</f>
        <v>0.11038969461501341</v>
      </c>
      <c r="H83" s="8">
        <f>-SUM(F82:H82)*H73</f>
        <v>0.11774900758934763</v>
      </c>
      <c r="I83" s="8">
        <f>-SUM(I82:K82)*I73</f>
        <v>0.11725976942814814</v>
      </c>
      <c r="J83" s="8">
        <f>-SUM(I82:K82)*J73</f>
        <v>0.10993103383888889</v>
      </c>
      <c r="K83" s="8">
        <f>-SUM(I82:K82)*K73</f>
        <v>0.14657471178518519</v>
      </c>
      <c r="L83" s="8">
        <f>-(L82+M82)*L73</f>
        <v>0.14231854164776012</v>
      </c>
      <c r="M83" s="8">
        <f>-(L82+M82)*M73</f>
        <v>0.10063440588771125</v>
      </c>
      <c r="N83" s="8"/>
      <c r="O83" s="8"/>
      <c r="P83" s="8"/>
    </row>
    <row r="84" spans="2:16" x14ac:dyDescent="0.25">
      <c r="B84" s="8" t="s">
        <v>42</v>
      </c>
      <c r="C84" s="8">
        <f t="shared" ref="C84" si="50">D83/2</f>
        <v>4.1864183668766548E-2</v>
      </c>
      <c r="D84" s="8"/>
      <c r="E84" s="8">
        <f t="shared" ref="E84" si="51">F83/2</f>
        <v>7.359312974334227E-2</v>
      </c>
      <c r="F84" s="8">
        <f t="shared" ref="F84" si="52">E83/2</f>
        <v>5.2330229585958198E-2</v>
      </c>
      <c r="G84" s="8"/>
      <c r="H84" s="8">
        <f t="shared" ref="H84" si="53">I83/2</f>
        <v>5.8629884714074071E-2</v>
      </c>
      <c r="I84" s="8">
        <f t="shared" ref="I84" si="54">H83/2</f>
        <v>5.8874503794673815E-2</v>
      </c>
      <c r="J84" s="8"/>
      <c r="K84" s="8">
        <f t="shared" ref="K84" si="55">L83/2</f>
        <v>7.1159270823880058E-2</v>
      </c>
      <c r="L84" s="8">
        <f t="shared" ref="L84" si="56">K83/2</f>
        <v>7.3287355892592596E-2</v>
      </c>
      <c r="M84" s="8"/>
      <c r="N84" s="8">
        <f t="shared" ref="N84" si="57">M83/2</f>
        <v>5.0317202943855624E-2</v>
      </c>
      <c r="O84" s="8"/>
      <c r="P84" s="8"/>
    </row>
    <row r="85" spans="2:16" x14ac:dyDescent="0.25">
      <c r="B85" s="8" t="s">
        <v>41</v>
      </c>
      <c r="C85" s="8"/>
      <c r="D85" s="8">
        <f>-SUM(D84:E84)*D73</f>
        <v>-3.2708057663707671E-2</v>
      </c>
      <c r="E85" s="8">
        <f>-SUM(D84:E84)*E73</f>
        <v>-4.0885072079634599E-2</v>
      </c>
      <c r="F85" s="8">
        <f>-SUM(F84:H84)*F73</f>
        <v>-4.3513770313738147E-2</v>
      </c>
      <c r="G85" s="8">
        <f>-SUM(F84:H84)*G73</f>
        <v>-3.2635327735303608E-2</v>
      </c>
      <c r="H85" s="8">
        <f>-SUM(F84:H84)*H73</f>
        <v>-3.481101625099052E-2</v>
      </c>
      <c r="I85" s="8">
        <f>-SUM(I84:K84)*I73</f>
        <v>-4.0794909684252194E-2</v>
      </c>
      <c r="J85" s="8">
        <f>-SUM(I84:K84)*J73</f>
        <v>-3.8245227828986435E-2</v>
      </c>
      <c r="K85" s="8">
        <f>-SUM(I84:K84)*K73</f>
        <v>-5.0993637105315244E-2</v>
      </c>
      <c r="L85" s="8">
        <f>-(L84+M84)*L73</f>
        <v>-4.2930739131416977E-2</v>
      </c>
      <c r="M85" s="8">
        <f>-(L84+M84)*M73</f>
        <v>-3.0356616761175619E-2</v>
      </c>
      <c r="N85" s="8"/>
      <c r="O85" s="8"/>
      <c r="P85" s="8"/>
    </row>
    <row r="86" spans="2:16" x14ac:dyDescent="0.25">
      <c r="B86" s="8" t="s">
        <v>42</v>
      </c>
      <c r="C86" s="8">
        <f t="shared" ref="C86" si="58">D85/2</f>
        <v>-1.6354028831853835E-2</v>
      </c>
      <c r="D86" s="8"/>
      <c r="E86" s="8">
        <f t="shared" ref="E86" si="59">F85/2</f>
        <v>-2.1756885156869073E-2</v>
      </c>
      <c r="F86" s="8">
        <f t="shared" ref="F86" si="60">E85/2</f>
        <v>-2.0442536039817299E-2</v>
      </c>
      <c r="G86" s="8"/>
      <c r="H86" s="8">
        <f t="shared" ref="H86" si="61">I85/2</f>
        <v>-2.0397454842126097E-2</v>
      </c>
      <c r="I86" s="8">
        <f t="shared" ref="I86" si="62">H85/2</f>
        <v>-1.740550812549526E-2</v>
      </c>
      <c r="J86" s="8"/>
      <c r="K86" s="8">
        <f t="shared" ref="K86" si="63">L85/2</f>
        <v>-2.1465369565708489E-2</v>
      </c>
      <c r="L86" s="8">
        <f t="shared" ref="L86" si="64">K85/2</f>
        <v>-2.5496818552657622E-2</v>
      </c>
      <c r="M86" s="8"/>
      <c r="N86" s="8">
        <f t="shared" ref="N86" si="65">M85/2</f>
        <v>-1.5178308380587809E-2</v>
      </c>
      <c r="O86" s="8"/>
      <c r="P86" s="8"/>
    </row>
    <row r="87" spans="2:16" x14ac:dyDescent="0.25">
      <c r="B87" s="8" t="s">
        <v>41</v>
      </c>
      <c r="C87" s="8"/>
      <c r="D87" s="8">
        <f>-SUM(D86:E86)*D73</f>
        <v>9.6697267363862541E-3</v>
      </c>
      <c r="E87" s="8">
        <f>-SUM(D86:E86)*E73</f>
        <v>1.2087158420482819E-2</v>
      </c>
      <c r="F87" s="8">
        <f>-SUM(F86:H86)*F73</f>
        <v>1.6015682698801333E-2</v>
      </c>
      <c r="G87" s="8">
        <f>-SUM(F86:H86)*G73</f>
        <v>1.2011762024101001E-2</v>
      </c>
      <c r="H87" s="8">
        <f>-SUM(F86:H86)*H73</f>
        <v>1.2812546159041066E-2</v>
      </c>
      <c r="I87" s="8">
        <f>-SUM(I86:K86)*I73</f>
        <v>1.2194785158024704E-2</v>
      </c>
      <c r="J87" s="8">
        <f>-SUM(I86:K86)*J73</f>
        <v>1.1432611085648161E-2</v>
      </c>
      <c r="K87" s="8">
        <f>-SUM(I86:K86)*K73</f>
        <v>1.524348144753088E-2</v>
      </c>
      <c r="L87" s="8">
        <f>-(L86+M86)*L73</f>
        <v>1.4935690510780888E-2</v>
      </c>
      <c r="M87" s="8">
        <f>-(L86+M86)*M73</f>
        <v>1.0561128041876734E-2</v>
      </c>
      <c r="N87" s="8"/>
      <c r="O87" s="8"/>
      <c r="P87" s="8"/>
    </row>
    <row r="88" spans="2:1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5">
      <c r="B89" s="5" t="s">
        <v>39</v>
      </c>
      <c r="C89" s="5" t="s">
        <v>43</v>
      </c>
      <c r="D89" s="5" t="s">
        <v>44</v>
      </c>
      <c r="E89" s="5" t="s">
        <v>45</v>
      </c>
      <c r="F89" s="5" t="s">
        <v>46</v>
      </c>
      <c r="G89" s="5" t="s">
        <v>47</v>
      </c>
      <c r="H89" s="5" t="s">
        <v>48</v>
      </c>
      <c r="I89" s="5" t="s">
        <v>49</v>
      </c>
      <c r="J89" s="5" t="s">
        <v>50</v>
      </c>
      <c r="K89" s="5" t="s">
        <v>51</v>
      </c>
      <c r="L89" s="5" t="s">
        <v>52</v>
      </c>
      <c r="M89" s="5" t="s">
        <v>53</v>
      </c>
      <c r="N89" s="5" t="s">
        <v>54</v>
      </c>
      <c r="O89" s="5" t="s">
        <v>55</v>
      </c>
      <c r="P89" s="5" t="s">
        <v>56</v>
      </c>
    </row>
    <row r="90" spans="2:16" x14ac:dyDescent="0.25">
      <c r="B90" s="5" t="s">
        <v>92</v>
      </c>
      <c r="C90" s="5">
        <f>SUM(C74:C87)</f>
        <v>77.961535207680754</v>
      </c>
      <c r="D90" s="5">
        <f t="shared" ref="D90:N90" si="66">SUM(D74:D87)</f>
        <v>75.932740142097913</v>
      </c>
      <c r="E90" s="5">
        <f t="shared" si="66"/>
        <v>-75.932740142097941</v>
      </c>
      <c r="F90" s="5">
        <f t="shared" si="66"/>
        <v>-69.229395947140858</v>
      </c>
      <c r="G90" s="5">
        <f t="shared" si="66"/>
        <v>56.239013782443614</v>
      </c>
      <c r="H90" s="5">
        <f t="shared" si="66"/>
        <v>12.990382164697278</v>
      </c>
      <c r="I90" s="5">
        <f t="shared" si="66"/>
        <v>16.00413078956327</v>
      </c>
      <c r="J90" s="5">
        <f t="shared" si="66"/>
        <v>61.890371605005811</v>
      </c>
      <c r="K90" s="5">
        <f t="shared" si="66"/>
        <v>-77.894502394569088</v>
      </c>
      <c r="L90" s="5">
        <f t="shared" si="66"/>
        <v>-79.562434049362778</v>
      </c>
      <c r="M90" s="5">
        <f t="shared" si="66"/>
        <v>79.562434049362778</v>
      </c>
      <c r="N90" s="5">
        <f t="shared" si="66"/>
        <v>75.131275519987838</v>
      </c>
      <c r="O90" s="5">
        <v>0</v>
      </c>
      <c r="P90" s="5">
        <v>0</v>
      </c>
    </row>
    <row r="91" spans="2:16" x14ac:dyDescent="0.2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2:16" x14ac:dyDescent="0.25">
      <c r="B92" s="5" t="s">
        <v>93</v>
      </c>
      <c r="C92" s="5"/>
      <c r="D92" s="5"/>
      <c r="E92" s="5">
        <f>(-SUM(E90:F90)/L_BC)</f>
        <v>36.2905340223097</v>
      </c>
      <c r="F92" s="5">
        <f>(-SUM(E90:F90)/L_BC)</f>
        <v>36.2905340223097</v>
      </c>
      <c r="G92" s="5">
        <f>-G90/L_CD</f>
        <v>-14.059753445610903</v>
      </c>
      <c r="H92" s="5">
        <f>-(SUM(H90:I90)/L_CE)</f>
        <v>-5.7989025908521104</v>
      </c>
      <c r="I92" s="5">
        <f>-(SUM(H90:I90)/L_CE)</f>
        <v>-5.7989025908521104</v>
      </c>
      <c r="J92" s="5">
        <f>-J90/L_EF</f>
        <v>-15.472592901251453</v>
      </c>
      <c r="K92" s="5">
        <f>-(SUM(K90:L90)/L_EG)</f>
        <v>39.364234110982963</v>
      </c>
      <c r="L92" s="5">
        <f>-(SUM(K90:L90)/L_EG)</f>
        <v>39.364234110982963</v>
      </c>
      <c r="M92" s="5"/>
      <c r="N92" s="5"/>
      <c r="O92" s="5"/>
      <c r="P92" s="5"/>
    </row>
    <row r="93" spans="2:1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25">
      <c r="B94" s="1"/>
      <c r="C94" s="1" t="s">
        <v>60</v>
      </c>
      <c r="D94" s="1"/>
      <c r="E94" s="1"/>
      <c r="F94" s="1"/>
      <c r="G94" s="1" t="s">
        <v>63</v>
      </c>
      <c r="H94" s="1"/>
      <c r="I94" s="1"/>
      <c r="J94" s="1" t="s">
        <v>64</v>
      </c>
      <c r="K94" s="1"/>
      <c r="L94" s="1"/>
      <c r="M94" s="1" t="s">
        <v>62</v>
      </c>
      <c r="N94" s="1" t="s">
        <v>61</v>
      </c>
      <c r="O94" s="1"/>
      <c r="P94" s="1"/>
    </row>
    <row r="95" spans="2:16" x14ac:dyDescent="0.25">
      <c r="B95" s="1"/>
      <c r="C95" s="1">
        <f>-((SUM(C90:D90)+E92*S1_)/H1_)</f>
        <v>-65.691469354176945</v>
      </c>
      <c r="D95" s="1"/>
      <c r="E95" s="1"/>
      <c r="F95" s="1"/>
      <c r="G95" s="1">
        <f>G92</f>
        <v>-14.059753445610903</v>
      </c>
      <c r="H95" s="1"/>
      <c r="I95" s="1"/>
      <c r="J95" s="1">
        <f>J92</f>
        <v>-15.472592901251453</v>
      </c>
      <c r="K95" s="1"/>
      <c r="L95" s="1"/>
      <c r="M95" s="1">
        <f>L92</f>
        <v>39.364234110982963</v>
      </c>
      <c r="N95" s="1">
        <f>-(SUM(M90:N90)+(M95*S3_))/H1_</f>
        <v>-78.037661503320621</v>
      </c>
      <c r="O95" s="1"/>
      <c r="P95" s="1"/>
    </row>
    <row r="96" spans="2:16" x14ac:dyDescent="0.25">
      <c r="B96" s="1"/>
      <c r="C96" s="1" t="s">
        <v>7</v>
      </c>
      <c r="D96" s="1"/>
      <c r="E96" s="1"/>
      <c r="F96" s="1"/>
      <c r="G96" s="1" t="s">
        <v>7</v>
      </c>
      <c r="H96" s="1"/>
      <c r="I96" s="1"/>
      <c r="J96" s="1" t="s">
        <v>7</v>
      </c>
      <c r="K96" s="1"/>
      <c r="L96" s="1"/>
      <c r="M96" s="1" t="s">
        <v>7</v>
      </c>
      <c r="N96" s="1" t="s">
        <v>7</v>
      </c>
      <c r="O96" s="1"/>
      <c r="P96" s="1"/>
    </row>
    <row r="97" spans="1:1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6" t="s">
        <v>76</v>
      </c>
      <c r="B99" s="5">
        <f>-SUM(N95,J95,G95,C95)</f>
        <v>173.26147720435992</v>
      </c>
      <c r="C99" s="5" t="s">
        <v>7</v>
      </c>
      <c r="D99" s="5" t="s">
        <v>71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2" spans="1:16" ht="15.75" thickBot="1" x14ac:dyDescent="0.3"/>
    <row r="103" spans="1:16" ht="16.5" thickTop="1" thickBot="1" x14ac:dyDescent="0.3">
      <c r="A103" s="10" t="s">
        <v>72</v>
      </c>
    </row>
    <row r="104" spans="1:16" ht="15.75" thickTop="1" x14ac:dyDescent="0.25"/>
    <row r="106" spans="1:16" x14ac:dyDescent="0.25">
      <c r="B106" s="8" t="s">
        <v>39</v>
      </c>
      <c r="C106" s="8" t="s">
        <v>43</v>
      </c>
      <c r="D106" s="8" t="s">
        <v>44</v>
      </c>
      <c r="E106" s="8" t="s">
        <v>45</v>
      </c>
      <c r="F106" s="8" t="s">
        <v>46</v>
      </c>
      <c r="G106" s="8" t="s">
        <v>47</v>
      </c>
      <c r="H106" s="8" t="s">
        <v>48</v>
      </c>
      <c r="I106" s="8" t="s">
        <v>49</v>
      </c>
      <c r="J106" s="8" t="s">
        <v>50</v>
      </c>
      <c r="K106" s="8" t="s">
        <v>51</v>
      </c>
      <c r="L106" s="8" t="s">
        <v>52</v>
      </c>
      <c r="M106" s="8" t="s">
        <v>53</v>
      </c>
      <c r="N106" s="8" t="s">
        <v>54</v>
      </c>
      <c r="O106" s="8" t="s">
        <v>55</v>
      </c>
      <c r="P106" s="8" t="s">
        <v>56</v>
      </c>
    </row>
    <row r="107" spans="1:16" x14ac:dyDescent="0.25">
      <c r="B107" s="9" t="s">
        <v>74</v>
      </c>
      <c r="C107" s="9">
        <f t="shared" ref="C107:P107" si="67">C35</f>
        <v>-9.8988072059803898</v>
      </c>
      <c r="D107" s="9">
        <f t="shared" si="67"/>
        <v>12.201467690924389</v>
      </c>
      <c r="E107" s="9">
        <f t="shared" si="67"/>
        <v>-12.201467690924384</v>
      </c>
      <c r="F107" s="9">
        <f t="shared" si="67"/>
        <v>20.721589045535957</v>
      </c>
      <c r="G107" s="9">
        <f t="shared" si="67"/>
        <v>2.8213235397585792</v>
      </c>
      <c r="H107" s="9">
        <f t="shared" si="67"/>
        <v>-23.542912585294527</v>
      </c>
      <c r="I107" s="9">
        <f t="shared" si="67"/>
        <v>23.398120687407356</v>
      </c>
      <c r="J107" s="9">
        <f t="shared" si="67"/>
        <v>-2.9117851271207007</v>
      </c>
      <c r="K107" s="9">
        <f t="shared" si="67"/>
        <v>-20.486335560286655</v>
      </c>
      <c r="L107" s="9">
        <f t="shared" si="67"/>
        <v>12.853111995062775</v>
      </c>
      <c r="M107" s="9">
        <f t="shared" si="67"/>
        <v>-0.85311199506277857</v>
      </c>
      <c r="N107" s="9">
        <f t="shared" si="67"/>
        <v>-0.42706095236346997</v>
      </c>
      <c r="O107" s="9">
        <f t="shared" si="67"/>
        <v>0</v>
      </c>
      <c r="P107" s="9">
        <f t="shared" si="67"/>
        <v>0</v>
      </c>
    </row>
    <row r="108" spans="1:16" x14ac:dyDescent="0.25">
      <c r="B108" s="9" t="s">
        <v>75</v>
      </c>
      <c r="C108" s="9">
        <f t="shared" ref="C108:P108" si="68">C90</f>
        <v>77.961535207680754</v>
      </c>
      <c r="D108" s="9">
        <f t="shared" si="68"/>
        <v>75.932740142097913</v>
      </c>
      <c r="E108" s="9">
        <f t="shared" si="68"/>
        <v>-75.932740142097941</v>
      </c>
      <c r="F108" s="9">
        <f t="shared" si="68"/>
        <v>-69.229395947140858</v>
      </c>
      <c r="G108" s="9">
        <f t="shared" si="68"/>
        <v>56.239013782443614</v>
      </c>
      <c r="H108" s="9">
        <f t="shared" si="68"/>
        <v>12.990382164697278</v>
      </c>
      <c r="I108" s="9">
        <f t="shared" si="68"/>
        <v>16.00413078956327</v>
      </c>
      <c r="J108" s="9">
        <f t="shared" si="68"/>
        <v>61.890371605005811</v>
      </c>
      <c r="K108" s="9">
        <f t="shared" si="68"/>
        <v>-77.894502394569088</v>
      </c>
      <c r="L108" s="9">
        <f t="shared" si="68"/>
        <v>-79.562434049362778</v>
      </c>
      <c r="M108" s="9">
        <f t="shared" si="68"/>
        <v>79.562434049362778</v>
      </c>
      <c r="N108" s="9">
        <f t="shared" si="68"/>
        <v>75.131275519987838</v>
      </c>
      <c r="O108" s="9">
        <f t="shared" si="68"/>
        <v>0</v>
      </c>
      <c r="P108" s="9">
        <f t="shared" si="68"/>
        <v>0</v>
      </c>
    </row>
    <row r="109" spans="1:16" x14ac:dyDescent="0.25">
      <c r="B109" s="9" t="s">
        <v>73</v>
      </c>
      <c r="C109" s="9">
        <f>(ABS(B44/B99)*C108)+C107</f>
        <v>-9.2435640540491857</v>
      </c>
      <c r="D109" s="9">
        <f>(ABS(B44/B99)*D108)+D107</f>
        <v>12.839659433210391</v>
      </c>
      <c r="E109" s="9">
        <f>(ABS(B44/B99)*E108)+E107</f>
        <v>-12.839659433210386</v>
      </c>
      <c r="F109" s="9">
        <f>(ABS(B44/B99)*F108)+F107</f>
        <v>20.139736886187652</v>
      </c>
      <c r="G109" s="9">
        <f>(ABS(B44/B99)*G108)+G107</f>
        <v>3.2939954612920115</v>
      </c>
      <c r="H109" s="9">
        <f>(ABS(B44/B99)*H108)+H107</f>
        <v>-23.433732347479655</v>
      </c>
      <c r="I109" s="9">
        <f>(ABS(B44/B99)*I108)+I107</f>
        <v>23.532630571987458</v>
      </c>
      <c r="J109" s="9">
        <f>(ABS(B44/B99)*J108)+J107</f>
        <v>-2.3916152503137829</v>
      </c>
      <c r="K109" s="9">
        <f>(ABS(B44/B99)*K108)+K107</f>
        <v>-21.141015321673674</v>
      </c>
      <c r="L109" s="9">
        <f>(ABS(B44/B99)*L108)+L107</f>
        <v>12.184413771984596</v>
      </c>
      <c r="M109" s="9">
        <f>(ABS(B44/B99)*M108)+M107</f>
        <v>-0.18441377198459952</v>
      </c>
      <c r="N109" s="9">
        <f>(ABS(B44/B99)*N108)+N107</f>
        <v>0.20439472188906183</v>
      </c>
      <c r="O109" s="9">
        <f>(ABS(B44/B99)*O108)+O107</f>
        <v>0</v>
      </c>
      <c r="P109" s="9">
        <f>(ABS(B44/B99)*P108)+P107</f>
        <v>0</v>
      </c>
    </row>
    <row r="110" spans="1:16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x14ac:dyDescent="0.25">
      <c r="B111" s="9" t="s">
        <v>58</v>
      </c>
      <c r="C111" s="9"/>
      <c r="D111" s="9"/>
      <c r="E111" s="9">
        <f>(-SUM(E109:F109)/L_BC)+(0.5*_1.2W2*L_BC)</f>
        <v>22.174980636755684</v>
      </c>
      <c r="F111" s="9">
        <f>(-SUM(E109:F109)/L_BC)-(0.5*_1.2W2*L_BC)</f>
        <v>-25.825019363244316</v>
      </c>
      <c r="G111" s="9">
        <f>-G109/L_CD</f>
        <v>-0.82349886532300287</v>
      </c>
      <c r="H111" s="9">
        <f>(-SUM(H109:I109)/L_CE)+(0.5*_1.2W2*L_CE)</f>
        <v>29.980220355098439</v>
      </c>
      <c r="I111" s="9">
        <f>(-SUM(H109:I109)/L_CE)-(0.5*_1.2W2*L_CE)</f>
        <v>-30.019779644901561</v>
      </c>
      <c r="J111" s="9">
        <f>-J109/L_EF</f>
        <v>0.59790381257844571</v>
      </c>
      <c r="K111" s="9">
        <f>(-SUM(K109:L109)/L_EG)+(0.5*_1.2W2*L_EG)</f>
        <v>26.239150387422271</v>
      </c>
      <c r="L111" s="9">
        <f>(-SUM(K109:L109)/L_EG)-(0.5*_1.2W2*L_EG)</f>
        <v>-21.760849612577729</v>
      </c>
      <c r="M111" s="9"/>
      <c r="N111" s="9"/>
      <c r="O111" s="9"/>
      <c r="P111" s="9"/>
    </row>
    <row r="113" spans="1:73" x14ac:dyDescent="0.25">
      <c r="A113" t="s">
        <v>199</v>
      </c>
      <c r="C113" s="6" t="s">
        <v>60</v>
      </c>
      <c r="D113" s="6" t="s">
        <v>193</v>
      </c>
      <c r="M113" s="6" t="s">
        <v>195</v>
      </c>
      <c r="N113" s="6" t="s">
        <v>61</v>
      </c>
      <c r="O113" s="6" t="s">
        <v>63</v>
      </c>
      <c r="P113" s="6" t="s">
        <v>64</v>
      </c>
    </row>
    <row r="114" spans="1:73" x14ac:dyDescent="0.25">
      <c r="C114" s="6">
        <f>-(SUM(C109:D109)+(E111*S1_)-(D3*H1_*H1_*0.5))/H1_</f>
        <v>-1.5302593223570611</v>
      </c>
      <c r="D114" s="6">
        <f>C114-(LW*H1_)</f>
        <v>-33.530259322357061</v>
      </c>
      <c r="M114" s="6">
        <f>-(SUM(M109:N109)+(M116*S3_))/H1_</f>
        <v>33.755854375101613</v>
      </c>
      <c r="N114" s="6">
        <f>-(SUM(M109:N109)+(M116*S3_))/H1_</f>
        <v>33.755854375101613</v>
      </c>
      <c r="O114" s="6">
        <f>G111</f>
        <v>-0.82349886532300287</v>
      </c>
      <c r="P114" s="6">
        <f>J111</f>
        <v>0.59790381257844571</v>
      </c>
    </row>
    <row r="115" spans="1:73" x14ac:dyDescent="0.25">
      <c r="C115" s="6" t="s">
        <v>78</v>
      </c>
      <c r="D115" s="6" t="s">
        <v>194</v>
      </c>
      <c r="M115" s="6" t="s">
        <v>196</v>
      </c>
      <c r="N115" s="6" t="s">
        <v>81</v>
      </c>
      <c r="O115" s="6"/>
      <c r="P115" s="6"/>
    </row>
    <row r="116" spans="1:73" x14ac:dyDescent="0.25">
      <c r="C116" s="6">
        <f>E111</f>
        <v>22.174980636755684</v>
      </c>
      <c r="D116" s="6">
        <f>E111</f>
        <v>22.174980636755684</v>
      </c>
      <c r="M116" s="6">
        <f>L111-(_1.2W1*2)</f>
        <v>-33.760849612577729</v>
      </c>
      <c r="N116" s="6">
        <f>M116</f>
        <v>-33.760849612577729</v>
      </c>
      <c r="O116" s="6"/>
      <c r="P116" s="6"/>
    </row>
    <row r="119" spans="1:73" x14ac:dyDescent="0.25">
      <c r="A119" s="2" t="s">
        <v>200</v>
      </c>
      <c r="C119" s="6" t="s">
        <v>60</v>
      </c>
      <c r="D119" s="6"/>
      <c r="N119" s="6" t="s">
        <v>61</v>
      </c>
      <c r="O119" s="6" t="s">
        <v>63</v>
      </c>
      <c r="P119" s="6" t="s">
        <v>64</v>
      </c>
    </row>
    <row r="120" spans="1:73" x14ac:dyDescent="0.25">
      <c r="C120" s="6">
        <f>-C114</f>
        <v>1.5302593223570611</v>
      </c>
      <c r="D120" s="6"/>
      <c r="N120" s="6">
        <f>-N114</f>
        <v>-33.755854375101613</v>
      </c>
      <c r="O120" s="6">
        <f>-O114</f>
        <v>0.82349886532300287</v>
      </c>
      <c r="P120" s="6">
        <f>-P114</f>
        <v>-0.59790381257844571</v>
      </c>
      <c r="BJ120" t="s">
        <v>140</v>
      </c>
      <c r="BR120" t="s">
        <v>145</v>
      </c>
    </row>
    <row r="121" spans="1:73" x14ac:dyDescent="0.25">
      <c r="C121" s="6" t="s">
        <v>78</v>
      </c>
      <c r="D121" s="6"/>
      <c r="N121" s="6" t="s">
        <v>81</v>
      </c>
      <c r="O121" s="6" t="s">
        <v>79</v>
      </c>
      <c r="P121" s="6" t="s">
        <v>80</v>
      </c>
      <c r="BJ121" t="s">
        <v>87</v>
      </c>
      <c r="BK121" t="s">
        <v>141</v>
      </c>
      <c r="BL121" t="s">
        <v>142</v>
      </c>
      <c r="BM121" t="s">
        <v>143</v>
      </c>
      <c r="BR121" t="s">
        <v>87</v>
      </c>
      <c r="BS121" t="s">
        <v>144</v>
      </c>
      <c r="BT121" t="s">
        <v>147</v>
      </c>
      <c r="BU121" t="s">
        <v>201</v>
      </c>
    </row>
    <row r="122" spans="1:73" x14ac:dyDescent="0.25">
      <c r="C122" s="6">
        <f>C116</f>
        <v>22.174980636755684</v>
      </c>
      <c r="D122" s="6"/>
      <c r="N122" s="6">
        <f>-N116</f>
        <v>33.760849612577729</v>
      </c>
      <c r="O122" s="6">
        <f>H111-F111</f>
        <v>55.805239718342754</v>
      </c>
      <c r="P122" s="6">
        <f>K111-I111</f>
        <v>56.258930032323832</v>
      </c>
      <c r="BJ122">
        <v>0</v>
      </c>
      <c r="BK122">
        <f>-_1.2W1*2</f>
        <v>-12</v>
      </c>
      <c r="BL122">
        <f>0</f>
        <v>0</v>
      </c>
      <c r="BM122">
        <f>-_1.2W1*2</f>
        <v>-12</v>
      </c>
      <c r="BQ122" s="2" t="s">
        <v>71</v>
      </c>
      <c r="BR122">
        <v>0</v>
      </c>
      <c r="BS122">
        <f>0</f>
        <v>0</v>
      </c>
      <c r="BT122">
        <f t="shared" ref="BT122:BT130" si="69">_1.2W1*BR122</f>
        <v>0</v>
      </c>
      <c r="BU122">
        <f>-(_1.2W1*BR122*BR122/2)+(_1.2W1*2*BR122)</f>
        <v>0</v>
      </c>
    </row>
    <row r="123" spans="1:73" x14ac:dyDescent="0.25">
      <c r="C123" s="6" t="s">
        <v>197</v>
      </c>
      <c r="D123" s="6"/>
      <c r="N123" s="6" t="s">
        <v>198</v>
      </c>
      <c r="O123" s="6"/>
      <c r="P123" s="6"/>
      <c r="BJ123">
        <v>0.25</v>
      </c>
      <c r="BK123">
        <f>-_1.2W1*2</f>
        <v>-12</v>
      </c>
      <c r="BL123">
        <f>0</f>
        <v>0</v>
      </c>
      <c r="BM123">
        <f>-_1.2W1*2</f>
        <v>-12</v>
      </c>
      <c r="BR123">
        <v>0.25</v>
      </c>
      <c r="BS123">
        <f>0</f>
        <v>0</v>
      </c>
      <c r="BT123">
        <f t="shared" si="69"/>
        <v>1.5</v>
      </c>
      <c r="BU123">
        <f>-(_1.2W1*BR123*BR123/2)+(_1.2W1*2*BR123)</f>
        <v>2.8125</v>
      </c>
    </row>
    <row r="124" spans="1:73" x14ac:dyDescent="0.25">
      <c r="C124" s="6">
        <f>C109*-1</f>
        <v>9.2435640540491857</v>
      </c>
      <c r="D124" s="6" t="s">
        <v>82</v>
      </c>
      <c r="N124" s="6">
        <f>-N109</f>
        <v>-0.20439472188906183</v>
      </c>
      <c r="O124" s="6"/>
      <c r="P124" s="6"/>
      <c r="BJ124">
        <v>0.5</v>
      </c>
      <c r="BK124">
        <f>-_1.2W1*2</f>
        <v>-12</v>
      </c>
      <c r="BL124">
        <f>0</f>
        <v>0</v>
      </c>
      <c r="BM124">
        <f>-_1.2W1*2</f>
        <v>-12</v>
      </c>
      <c r="BR124">
        <v>0.5</v>
      </c>
      <c r="BS124">
        <f>0</f>
        <v>0</v>
      </c>
      <c r="BT124">
        <f t="shared" si="69"/>
        <v>3</v>
      </c>
      <c r="BU124">
        <f>-(_1.2W1*BR124*BR124/2)+(_1.2W1*2*BR124)</f>
        <v>5.25</v>
      </c>
    </row>
    <row r="125" spans="1:73" x14ac:dyDescent="0.25">
      <c r="BJ125">
        <v>0.75</v>
      </c>
      <c r="BK125">
        <f>-_1.2W1*2</f>
        <v>-12</v>
      </c>
      <c r="BL125">
        <f>0</f>
        <v>0</v>
      </c>
      <c r="BM125">
        <f>-_1.2W1*2</f>
        <v>-12</v>
      </c>
      <c r="BR125">
        <v>0.75</v>
      </c>
      <c r="BS125">
        <f>0</f>
        <v>0</v>
      </c>
      <c r="BT125">
        <f t="shared" si="69"/>
        <v>4.5</v>
      </c>
      <c r="BU125">
        <f>-(_1.2W1*BR125*BR125/2)+(_1.2W1*2*BR125)</f>
        <v>7.3125</v>
      </c>
    </row>
    <row r="126" spans="1:73" x14ac:dyDescent="0.25">
      <c r="BJ126">
        <v>1</v>
      </c>
      <c r="BK126">
        <f>-_1.2W1*2</f>
        <v>-12</v>
      </c>
      <c r="BL126">
        <f>0</f>
        <v>0</v>
      </c>
      <c r="BM126">
        <f>-_1.2W1*2</f>
        <v>-12</v>
      </c>
      <c r="BR126">
        <v>1</v>
      </c>
      <c r="BS126">
        <f>0</f>
        <v>0</v>
      </c>
      <c r="BT126">
        <f t="shared" si="69"/>
        <v>6</v>
      </c>
      <c r="BU126">
        <f>-(_1.2W1*BR126*BR126/2)+(_1.2W1*2*BR126)</f>
        <v>9</v>
      </c>
    </row>
    <row r="127" spans="1:73" x14ac:dyDescent="0.25">
      <c r="B127" s="6" t="s">
        <v>94</v>
      </c>
      <c r="D127" s="6" t="s">
        <v>96</v>
      </c>
      <c r="N127" s="6" t="s">
        <v>98</v>
      </c>
      <c r="BR127">
        <v>1.25</v>
      </c>
      <c r="BS127">
        <f>0</f>
        <v>0</v>
      </c>
      <c r="BT127">
        <f t="shared" si="69"/>
        <v>7.5</v>
      </c>
      <c r="BU127">
        <f>-(_1.2W1*BR127*BR127/2)+(_1.2W1*2*BR127)</f>
        <v>10.3125</v>
      </c>
    </row>
    <row r="128" spans="1:73" x14ac:dyDescent="0.25">
      <c r="B128" s="6">
        <f>(C114*H1_/L_AB)+(C116*S1_/L_AB)</f>
        <v>12.08078092416776</v>
      </c>
      <c r="D128" s="6">
        <f>LW*H1_*H1_/L_AB/L_AB</f>
        <v>5.12</v>
      </c>
      <c r="N128" s="6">
        <f>(N116*S3_/L_GH)+(N114*H1_/L_GH)</f>
        <v>-3.5321662929987951E-3</v>
      </c>
      <c r="BR128">
        <v>1.5</v>
      </c>
      <c r="BS128">
        <f>0</f>
        <v>0</v>
      </c>
      <c r="BT128">
        <f t="shared" si="69"/>
        <v>9</v>
      </c>
      <c r="BU128">
        <f>-(_1.2W1*BR128*BR128/2)+(_1.2W1*2*BR128)</f>
        <v>11.25</v>
      </c>
    </row>
    <row r="129" spans="2:73" x14ac:dyDescent="0.25">
      <c r="B129" s="6" t="s">
        <v>95</v>
      </c>
      <c r="D129" s="6" t="s">
        <v>97</v>
      </c>
      <c r="N129" s="6" t="s">
        <v>99</v>
      </c>
      <c r="BR129">
        <v>1.75</v>
      </c>
      <c r="BS129">
        <f>0</f>
        <v>0</v>
      </c>
      <c r="BT129">
        <f t="shared" si="69"/>
        <v>10.5</v>
      </c>
      <c r="BU129">
        <f>-(_1.2W1*BR129*BR129/2)+(_1.2W1*2*BR129)</f>
        <v>11.8125</v>
      </c>
    </row>
    <row r="130" spans="2:73" x14ac:dyDescent="0.25">
      <c r="B130" s="6">
        <f>(C114*S1_/L_AB)-(C116*H1_/L_AB)</f>
        <v>-18.658140102818784</v>
      </c>
      <c r="D130" s="6">
        <f>LW*H1_*S1_/L_AB/L_AB</f>
        <v>3.84</v>
      </c>
      <c r="N130" s="6">
        <f>(N116*H1_/L_GH)-(N114*S3_/L_GH)</f>
        <v>-47.741519233052877</v>
      </c>
      <c r="BR130">
        <v>2</v>
      </c>
      <c r="BS130">
        <f>0</f>
        <v>0</v>
      </c>
      <c r="BT130">
        <f t="shared" si="69"/>
        <v>12</v>
      </c>
      <c r="BU130">
        <f>-(_1.2W1*BR130*BR130/2)+(_1.2W1*2*BR130)</f>
        <v>12</v>
      </c>
    </row>
    <row r="131" spans="2:73" x14ac:dyDescent="0.25">
      <c r="AA131" t="s">
        <v>108</v>
      </c>
    </row>
    <row r="132" spans="2:73" x14ac:dyDescent="0.25">
      <c r="AA132">
        <v>20</v>
      </c>
    </row>
    <row r="133" spans="2:73" x14ac:dyDescent="0.25">
      <c r="Z133" s="1"/>
      <c r="AA133" s="1"/>
      <c r="AB133" s="1"/>
      <c r="AC133" s="1"/>
      <c r="AD133" s="1"/>
      <c r="AE133" s="1"/>
      <c r="AF133" s="1"/>
    </row>
    <row r="134" spans="2:73" x14ac:dyDescent="0.25">
      <c r="Z134" s="1"/>
      <c r="AA134" s="1" t="s">
        <v>43</v>
      </c>
      <c r="AB134" s="1"/>
      <c r="AC134" s="1"/>
      <c r="AE134" s="1"/>
      <c r="AF134" s="1"/>
      <c r="AH134" t="s">
        <v>45</v>
      </c>
      <c r="AO134" t="s">
        <v>47</v>
      </c>
      <c r="AV134" t="s">
        <v>48</v>
      </c>
      <c r="BC134" t="s">
        <v>50</v>
      </c>
      <c r="BJ134" t="s">
        <v>51</v>
      </c>
      <c r="BQ134" s="2" t="s">
        <v>71</v>
      </c>
      <c r="BR134" t="s">
        <v>53</v>
      </c>
    </row>
    <row r="135" spans="2:73" x14ac:dyDescent="0.25">
      <c r="Z135" s="1"/>
      <c r="AA135" s="1" t="s">
        <v>87</v>
      </c>
      <c r="AB135" s="1" t="s">
        <v>100</v>
      </c>
      <c r="AC135" s="1" t="s">
        <v>101</v>
      </c>
      <c r="AD135" s="1" t="s">
        <v>102</v>
      </c>
      <c r="AE135" s="1"/>
      <c r="AF135" s="1"/>
      <c r="AH135" t="s">
        <v>87</v>
      </c>
      <c r="AI135" t="s">
        <v>103</v>
      </c>
      <c r="AJ135" t="s">
        <v>104</v>
      </c>
      <c r="AK135" t="s">
        <v>105</v>
      </c>
      <c r="AO135" t="s">
        <v>87</v>
      </c>
      <c r="AP135" t="s">
        <v>106</v>
      </c>
      <c r="AQ135" t="s">
        <v>107</v>
      </c>
      <c r="AR135" t="s">
        <v>114</v>
      </c>
      <c r="AV135" t="s">
        <v>87</v>
      </c>
      <c r="AW135" t="s">
        <v>109</v>
      </c>
      <c r="AX135" t="s">
        <v>110</v>
      </c>
      <c r="AY135" t="s">
        <v>111</v>
      </c>
      <c r="BC135" t="s">
        <v>87</v>
      </c>
      <c r="BD135" t="s">
        <v>112</v>
      </c>
      <c r="BE135" t="s">
        <v>113</v>
      </c>
      <c r="BF135" t="s">
        <v>115</v>
      </c>
      <c r="BJ135" t="s">
        <v>87</v>
      </c>
      <c r="BK135" t="s">
        <v>116</v>
      </c>
      <c r="BL135" t="s">
        <v>117</v>
      </c>
      <c r="BM135" t="s">
        <v>118</v>
      </c>
      <c r="BP135" t="s">
        <v>119</v>
      </c>
      <c r="BR135" t="s">
        <v>87</v>
      </c>
      <c r="BS135" t="s">
        <v>120</v>
      </c>
      <c r="BT135" t="s">
        <v>121</v>
      </c>
      <c r="BU135" t="s">
        <v>122</v>
      </c>
    </row>
    <row r="136" spans="2:73" x14ac:dyDescent="0.25">
      <c r="Z136" s="1">
        <v>0</v>
      </c>
      <c r="AA136" s="1">
        <v>0</v>
      </c>
      <c r="AB136" s="1">
        <f t="shared" ref="AB136:AB156" si="70">Axx-(LW_x*AA136)</f>
        <v>-18.658140102818784</v>
      </c>
      <c r="AC136" s="1">
        <f t="shared" ref="AC136:AC156" si="71">Ayy-(AA136*LW_y)</f>
        <v>12.08078092416776</v>
      </c>
      <c r="AD136" s="1">
        <f t="shared" ref="AD136:AD156" si="72">Mab+(Ayy*AA136)-(0.5*AA136*AA136*LW_y)</f>
        <v>-9.2435640540491857</v>
      </c>
      <c r="AE136" s="1"/>
      <c r="AF136" s="1"/>
      <c r="AG136">
        <v>0</v>
      </c>
      <c r="AH136" s="1">
        <v>0</v>
      </c>
      <c r="AI136">
        <f t="shared" ref="AI136:AI156" si="73">Ax-(H1_*LW)</f>
        <v>-33.530259322357061</v>
      </c>
      <c r="AJ136">
        <f t="shared" ref="AJ136:AJ156" si="74">Vbc-(AH136*_1.2W2)</f>
        <v>22.174980636755684</v>
      </c>
      <c r="AK136">
        <f t="shared" ref="AK136:AK156" si="75">Mbc+(Vbc*AH136)-(0.5*AH136*AH136*_1.2W2)</f>
        <v>-12.839659433210386</v>
      </c>
      <c r="AN136">
        <v>0</v>
      </c>
      <c r="AO136" s="1">
        <v>0</v>
      </c>
      <c r="AP136">
        <f t="shared" ref="AP136:AP156" si="76">-Dy</f>
        <v>-55.805239718342754</v>
      </c>
      <c r="AQ136">
        <f t="shared" ref="AQ136:AQ156" si="77">Dx</f>
        <v>-0.82349886532300287</v>
      </c>
      <c r="AR136">
        <f t="shared" ref="AR136:AR156" si="78">AO136*Dx</f>
        <v>0</v>
      </c>
      <c r="AU136">
        <v>0</v>
      </c>
      <c r="AV136" s="1">
        <v>0</v>
      </c>
      <c r="AW136">
        <f t="shared" ref="AW136:AW156" si="79">Dx+Ax-(H1_*LW)</f>
        <v>-34.353758187680064</v>
      </c>
      <c r="AX136">
        <f t="shared" ref="AX136:AX156" si="80">Vce-(_1.2W2*AV136)</f>
        <v>29.980220355098439</v>
      </c>
      <c r="AY136">
        <f t="shared" ref="AY136:AY156" si="81">(-_1.2W2*AV136*AV136*0.5)+(Vce*AV136)+Mce</f>
        <v>-23.433732347479655</v>
      </c>
      <c r="BB136">
        <v>0</v>
      </c>
      <c r="BC136" s="1">
        <v>0</v>
      </c>
      <c r="BD136">
        <f t="shared" ref="BD136:BD156" si="82">-Fy</f>
        <v>-56.258930032323832</v>
      </c>
      <c r="BE136">
        <f t="shared" ref="BE136:BE156" si="83">Fx</f>
        <v>0.59790381257844571</v>
      </c>
      <c r="BF136">
        <f t="shared" ref="BF136:BF156" si="84">BC136*Fx</f>
        <v>0</v>
      </c>
      <c r="BI136">
        <v>0</v>
      </c>
      <c r="BJ136" s="1">
        <v>0</v>
      </c>
      <c r="BK136">
        <f t="shared" ref="BK136:BK156" si="85">Ax+Dx+Fx-(H1_*LW)</f>
        <v>-33.75585437510162</v>
      </c>
      <c r="BL136">
        <f t="shared" ref="BL136:BL156" si="86">Veg-(BJ136*_1.2W2)</f>
        <v>26.239150387422271</v>
      </c>
      <c r="BM136">
        <f t="shared" ref="BM136:BM156" si="87">Meg+(Veg*BJ136)-(0.5*BJ136*BJ136*_1.2W2)</f>
        <v>-21.141015321673674</v>
      </c>
      <c r="BP136">
        <f t="shared" ref="BP136:BP156" si="88">L_GH-BR136</f>
        <v>5.6568542494923806</v>
      </c>
      <c r="BQ136">
        <v>0</v>
      </c>
      <c r="BR136">
        <f t="shared" ref="BR136:BR156" si="89">BQ136*L_GH/n</f>
        <v>0</v>
      </c>
      <c r="BS136">
        <f t="shared" ref="BS136:BS156" si="90">Hxx</f>
        <v>-47.741519233052877</v>
      </c>
      <c r="BT136">
        <f t="shared" ref="BT136:BT156" si="91">Hyy</f>
        <v>-3.5321662929987951E-3</v>
      </c>
      <c r="BU136">
        <f t="shared" ref="BU136:BU156" si="92">-Mhg-(Hyy*BR136)</f>
        <v>-0.20439472188906183</v>
      </c>
    </row>
    <row r="137" spans="2:73" x14ac:dyDescent="0.25">
      <c r="Z137" s="1">
        <v>1</v>
      </c>
      <c r="AA137" s="1">
        <f t="shared" ref="AA137:AA156" si="93">Z137*L_AB/n</f>
        <v>0.25</v>
      </c>
      <c r="AB137" s="1">
        <f t="shared" si="70"/>
        <v>-19.618140102818785</v>
      </c>
      <c r="AC137" s="1">
        <f t="shared" si="71"/>
        <v>10.800780924167761</v>
      </c>
      <c r="AD137" s="1">
        <f t="shared" si="72"/>
        <v>-6.3833688230072454</v>
      </c>
      <c r="AE137" s="1"/>
      <c r="AF137" s="1"/>
      <c r="AG137">
        <v>1</v>
      </c>
      <c r="AH137" s="1">
        <f t="shared" ref="AH137:AH156" si="94">AG137*L_BC/n</f>
        <v>0.2</v>
      </c>
      <c r="AI137">
        <f t="shared" si="73"/>
        <v>-33.530259322357061</v>
      </c>
      <c r="AJ137">
        <f t="shared" si="74"/>
        <v>19.774980636755686</v>
      </c>
      <c r="AK137">
        <f t="shared" si="75"/>
        <v>-8.6446633058592486</v>
      </c>
      <c r="AN137">
        <v>1</v>
      </c>
      <c r="AO137" s="1">
        <f t="shared" ref="AO137:AO156" si="95">AN137*L_CD/n</f>
        <v>0.2</v>
      </c>
      <c r="AP137">
        <f t="shared" si="76"/>
        <v>-55.805239718342754</v>
      </c>
      <c r="AQ137">
        <f t="shared" si="77"/>
        <v>-0.82349886532300287</v>
      </c>
      <c r="AR137">
        <f t="shared" si="78"/>
        <v>-0.1646997730646006</v>
      </c>
      <c r="AU137">
        <v>1</v>
      </c>
      <c r="AV137" s="1">
        <f t="shared" ref="AV137:AV156" si="96">AU137*L_CE/n</f>
        <v>0.25</v>
      </c>
      <c r="AW137">
        <f t="shared" si="79"/>
        <v>-34.353758187680064</v>
      </c>
      <c r="AX137">
        <f t="shared" si="80"/>
        <v>26.980220355098439</v>
      </c>
      <c r="AY137">
        <f t="shared" si="81"/>
        <v>-16.313677258705045</v>
      </c>
      <c r="BB137">
        <v>1</v>
      </c>
      <c r="BC137" s="1">
        <f t="shared" ref="BC137:BC156" si="97">BB137*L_EF/n</f>
        <v>0.2</v>
      </c>
      <c r="BD137">
        <f t="shared" si="82"/>
        <v>-56.258930032323832</v>
      </c>
      <c r="BE137">
        <f t="shared" si="83"/>
        <v>0.59790381257844571</v>
      </c>
      <c r="BF137">
        <f t="shared" si="84"/>
        <v>0.11958076251568915</v>
      </c>
      <c r="BI137">
        <v>1</v>
      </c>
      <c r="BJ137" s="1">
        <f t="shared" ref="BJ137:BJ156" si="98">BI137*L_EG/n</f>
        <v>0.2</v>
      </c>
      <c r="BK137">
        <f t="shared" si="85"/>
        <v>-33.75585437510162</v>
      </c>
      <c r="BL137">
        <f t="shared" si="86"/>
        <v>23.839150387422272</v>
      </c>
      <c r="BM137">
        <f t="shared" si="87"/>
        <v>-16.133185244189217</v>
      </c>
      <c r="BP137">
        <f t="shared" si="88"/>
        <v>5.3740115370177612</v>
      </c>
      <c r="BQ137">
        <v>1</v>
      </c>
      <c r="BR137">
        <f t="shared" si="89"/>
        <v>0.28284271247461901</v>
      </c>
      <c r="BS137">
        <f t="shared" si="90"/>
        <v>-47.741519233052877</v>
      </c>
      <c r="BT137">
        <f t="shared" si="91"/>
        <v>-3.5321662929987951E-3</v>
      </c>
      <c r="BU137">
        <f t="shared" si="92"/>
        <v>-0.20339567439383863</v>
      </c>
    </row>
    <row r="138" spans="2:73" x14ac:dyDescent="0.25">
      <c r="Z138" s="1">
        <v>2</v>
      </c>
      <c r="AA138" s="1">
        <f t="shared" si="93"/>
        <v>0.5</v>
      </c>
      <c r="AB138" s="1">
        <f t="shared" si="70"/>
        <v>-20.578140102818786</v>
      </c>
      <c r="AC138" s="1">
        <f t="shared" si="71"/>
        <v>9.5207809241677595</v>
      </c>
      <c r="AD138" s="1">
        <f t="shared" si="72"/>
        <v>-3.8431735919653058</v>
      </c>
      <c r="AE138" s="1"/>
      <c r="AF138" s="1"/>
      <c r="AG138">
        <v>2</v>
      </c>
      <c r="AH138" s="1">
        <f t="shared" si="94"/>
        <v>0.4</v>
      </c>
      <c r="AI138">
        <f t="shared" si="73"/>
        <v>-33.530259322357061</v>
      </c>
      <c r="AJ138">
        <f t="shared" si="74"/>
        <v>17.374980636755684</v>
      </c>
      <c r="AK138">
        <f t="shared" si="75"/>
        <v>-4.9296671785081125</v>
      </c>
      <c r="AN138">
        <v>2</v>
      </c>
      <c r="AO138" s="1">
        <f t="shared" si="95"/>
        <v>0.4</v>
      </c>
      <c r="AP138">
        <f t="shared" si="76"/>
        <v>-55.805239718342754</v>
      </c>
      <c r="AQ138">
        <f t="shared" si="77"/>
        <v>-0.82349886532300287</v>
      </c>
      <c r="AR138">
        <f t="shared" si="78"/>
        <v>-0.32939954612920119</v>
      </c>
      <c r="AU138">
        <v>2</v>
      </c>
      <c r="AV138" s="1">
        <f t="shared" si="96"/>
        <v>0.5</v>
      </c>
      <c r="AW138">
        <f t="shared" si="79"/>
        <v>-34.353758187680064</v>
      </c>
      <c r="AX138">
        <f t="shared" si="80"/>
        <v>23.980220355098439</v>
      </c>
      <c r="AY138">
        <f t="shared" si="81"/>
        <v>-9.9436221699304355</v>
      </c>
      <c r="BB138">
        <v>2</v>
      </c>
      <c r="BC138" s="1">
        <f t="shared" si="97"/>
        <v>0.4</v>
      </c>
      <c r="BD138">
        <f t="shared" si="82"/>
        <v>-56.258930032323832</v>
      </c>
      <c r="BE138">
        <f t="shared" si="83"/>
        <v>0.59790381257844571</v>
      </c>
      <c r="BF138">
        <f t="shared" si="84"/>
        <v>0.2391615250313783</v>
      </c>
      <c r="BI138">
        <v>2</v>
      </c>
      <c r="BJ138" s="1">
        <f t="shared" si="98"/>
        <v>0.4</v>
      </c>
      <c r="BK138">
        <f t="shared" si="85"/>
        <v>-33.75585437510162</v>
      </c>
      <c r="BL138">
        <f t="shared" si="86"/>
        <v>21.43915038742227</v>
      </c>
      <c r="BM138">
        <f t="shared" si="87"/>
        <v>-11.605355166704765</v>
      </c>
      <c r="BP138">
        <f t="shared" si="88"/>
        <v>5.0911688245431428</v>
      </c>
      <c r="BQ138">
        <v>2</v>
      </c>
      <c r="BR138">
        <f t="shared" si="89"/>
        <v>0.56568542494923801</v>
      </c>
      <c r="BS138">
        <f t="shared" si="90"/>
        <v>-47.741519233052877</v>
      </c>
      <c r="BT138">
        <f t="shared" si="91"/>
        <v>-3.5321662929987951E-3</v>
      </c>
      <c r="BU138">
        <f t="shared" si="92"/>
        <v>-0.20239662689861543</v>
      </c>
    </row>
    <row r="139" spans="2:73" x14ac:dyDescent="0.25">
      <c r="Z139" s="1">
        <v>3</v>
      </c>
      <c r="AA139" s="1">
        <f t="shared" si="93"/>
        <v>0.75</v>
      </c>
      <c r="AB139" s="1">
        <f t="shared" si="70"/>
        <v>-21.538140102818783</v>
      </c>
      <c r="AC139" s="1">
        <f t="shared" si="71"/>
        <v>8.2407809241677601</v>
      </c>
      <c r="AD139" s="1">
        <f t="shared" si="72"/>
        <v>-1.6229783609233661</v>
      </c>
      <c r="AE139" s="1"/>
      <c r="AF139" s="1"/>
      <c r="AG139">
        <v>3</v>
      </c>
      <c r="AH139" s="1">
        <f t="shared" si="94"/>
        <v>0.6</v>
      </c>
      <c r="AI139">
        <f t="shared" si="73"/>
        <v>-33.530259322357061</v>
      </c>
      <c r="AJ139">
        <f t="shared" si="74"/>
        <v>14.974980636755685</v>
      </c>
      <c r="AK139">
        <f t="shared" si="75"/>
        <v>-1.6946710511569751</v>
      </c>
      <c r="AN139">
        <v>3</v>
      </c>
      <c r="AO139" s="1">
        <f t="shared" si="95"/>
        <v>0.6</v>
      </c>
      <c r="AP139">
        <f t="shared" si="76"/>
        <v>-55.805239718342754</v>
      </c>
      <c r="AQ139">
        <f t="shared" si="77"/>
        <v>-0.82349886532300287</v>
      </c>
      <c r="AR139">
        <f t="shared" si="78"/>
        <v>-0.49409931919380168</v>
      </c>
      <c r="AU139">
        <v>3</v>
      </c>
      <c r="AV139" s="1">
        <f t="shared" si="96"/>
        <v>0.75</v>
      </c>
      <c r="AW139">
        <f t="shared" si="79"/>
        <v>-34.353758187680064</v>
      </c>
      <c r="AX139">
        <f t="shared" si="80"/>
        <v>20.980220355098439</v>
      </c>
      <c r="AY139">
        <f t="shared" si="81"/>
        <v>-4.3235670811558258</v>
      </c>
      <c r="BB139">
        <v>3</v>
      </c>
      <c r="BC139" s="1">
        <f t="shared" si="97"/>
        <v>0.6</v>
      </c>
      <c r="BD139">
        <f t="shared" si="82"/>
        <v>-56.258930032323832</v>
      </c>
      <c r="BE139">
        <f t="shared" si="83"/>
        <v>0.59790381257844571</v>
      </c>
      <c r="BF139">
        <f t="shared" si="84"/>
        <v>0.35874228754706744</v>
      </c>
      <c r="BI139">
        <v>3</v>
      </c>
      <c r="BJ139" s="1">
        <f t="shared" si="98"/>
        <v>0.6</v>
      </c>
      <c r="BK139">
        <f t="shared" si="85"/>
        <v>-33.75585437510162</v>
      </c>
      <c r="BL139">
        <f t="shared" si="86"/>
        <v>19.039150387422271</v>
      </c>
      <c r="BM139">
        <f t="shared" si="87"/>
        <v>-7.557525089220313</v>
      </c>
      <c r="BP139">
        <f t="shared" si="88"/>
        <v>4.8083261120685235</v>
      </c>
      <c r="BQ139">
        <v>3</v>
      </c>
      <c r="BR139">
        <f t="shared" si="89"/>
        <v>0.84852813742385713</v>
      </c>
      <c r="BS139">
        <f t="shared" si="90"/>
        <v>-47.741519233052877</v>
      </c>
      <c r="BT139">
        <f t="shared" si="91"/>
        <v>-3.5321662929987951E-3</v>
      </c>
      <c r="BU139">
        <f t="shared" si="92"/>
        <v>-0.20139757940339223</v>
      </c>
    </row>
    <row r="140" spans="2:73" x14ac:dyDescent="0.25">
      <c r="Z140" s="1">
        <v>4</v>
      </c>
      <c r="AA140" s="1">
        <f t="shared" si="93"/>
        <v>1</v>
      </c>
      <c r="AB140" s="1">
        <f t="shared" si="70"/>
        <v>-22.498140102818784</v>
      </c>
      <c r="AC140" s="1">
        <f t="shared" si="71"/>
        <v>6.9607809241677598</v>
      </c>
      <c r="AD140" s="1">
        <f t="shared" si="72"/>
        <v>0.27721687011857421</v>
      </c>
      <c r="AE140" s="1"/>
      <c r="AF140" s="1"/>
      <c r="AG140">
        <v>4</v>
      </c>
      <c r="AH140" s="1">
        <f t="shared" si="94"/>
        <v>0.8</v>
      </c>
      <c r="AI140">
        <f t="shared" si="73"/>
        <v>-33.530259322357061</v>
      </c>
      <c r="AJ140">
        <f t="shared" si="74"/>
        <v>12.574980636755683</v>
      </c>
      <c r="AK140">
        <f t="shared" si="75"/>
        <v>1.0603250761941601</v>
      </c>
      <c r="AN140">
        <v>4</v>
      </c>
      <c r="AO140" s="1">
        <f t="shared" si="95"/>
        <v>0.8</v>
      </c>
      <c r="AP140">
        <f t="shared" si="76"/>
        <v>-55.805239718342754</v>
      </c>
      <c r="AQ140">
        <f t="shared" si="77"/>
        <v>-0.82349886532300287</v>
      </c>
      <c r="AR140">
        <f t="shared" si="78"/>
        <v>-0.65879909225840239</v>
      </c>
      <c r="AU140">
        <v>4</v>
      </c>
      <c r="AV140" s="1">
        <f t="shared" si="96"/>
        <v>1</v>
      </c>
      <c r="AW140">
        <f t="shared" si="79"/>
        <v>-34.353758187680064</v>
      </c>
      <c r="AX140">
        <f t="shared" si="80"/>
        <v>17.980220355098439</v>
      </c>
      <c r="AY140">
        <f t="shared" si="81"/>
        <v>0.54648800761878391</v>
      </c>
      <c r="BB140">
        <v>4</v>
      </c>
      <c r="BC140" s="1">
        <f t="shared" si="97"/>
        <v>0.8</v>
      </c>
      <c r="BD140">
        <f t="shared" si="82"/>
        <v>-56.258930032323832</v>
      </c>
      <c r="BE140">
        <f t="shared" si="83"/>
        <v>0.59790381257844571</v>
      </c>
      <c r="BF140">
        <f t="shared" si="84"/>
        <v>0.47832305006275661</v>
      </c>
      <c r="BI140">
        <v>4</v>
      </c>
      <c r="BJ140" s="1">
        <f t="shared" si="98"/>
        <v>0.8</v>
      </c>
      <c r="BK140">
        <f t="shared" si="85"/>
        <v>-33.75585437510162</v>
      </c>
      <c r="BL140">
        <f t="shared" si="86"/>
        <v>16.639150387422269</v>
      </c>
      <c r="BM140">
        <f t="shared" si="87"/>
        <v>-3.9896950117358552</v>
      </c>
      <c r="BP140">
        <f t="shared" si="88"/>
        <v>4.5254833995939041</v>
      </c>
      <c r="BQ140">
        <v>4</v>
      </c>
      <c r="BR140">
        <f t="shared" si="89"/>
        <v>1.131370849898476</v>
      </c>
      <c r="BS140">
        <f t="shared" si="90"/>
        <v>-47.741519233052877</v>
      </c>
      <c r="BT140">
        <f t="shared" si="91"/>
        <v>-3.5321662929987951E-3</v>
      </c>
      <c r="BU140">
        <f t="shared" si="92"/>
        <v>-0.20039853190816903</v>
      </c>
    </row>
    <row r="141" spans="2:73" x14ac:dyDescent="0.25">
      <c r="Z141" s="1">
        <v>5</v>
      </c>
      <c r="AA141" s="1">
        <f t="shared" si="93"/>
        <v>1.25</v>
      </c>
      <c r="AB141" s="1">
        <f t="shared" si="70"/>
        <v>-23.458140102818785</v>
      </c>
      <c r="AC141" s="1">
        <f t="shared" si="71"/>
        <v>5.6807809241677596</v>
      </c>
      <c r="AD141" s="1">
        <f t="shared" si="72"/>
        <v>1.8574121011605147</v>
      </c>
      <c r="AE141" s="1"/>
      <c r="AF141" s="1"/>
      <c r="AG141">
        <v>5</v>
      </c>
      <c r="AH141" s="1">
        <f t="shared" si="94"/>
        <v>1</v>
      </c>
      <c r="AI141">
        <f t="shared" si="73"/>
        <v>-33.530259322357061</v>
      </c>
      <c r="AJ141">
        <f t="shared" si="74"/>
        <v>10.174980636755684</v>
      </c>
      <c r="AK141">
        <f t="shared" si="75"/>
        <v>3.3353212035452984</v>
      </c>
      <c r="AN141">
        <v>5</v>
      </c>
      <c r="AO141" s="1">
        <f t="shared" si="95"/>
        <v>1</v>
      </c>
      <c r="AP141">
        <f t="shared" si="76"/>
        <v>-55.805239718342754</v>
      </c>
      <c r="AQ141">
        <f t="shared" si="77"/>
        <v>-0.82349886532300287</v>
      </c>
      <c r="AR141">
        <f t="shared" si="78"/>
        <v>-0.82349886532300287</v>
      </c>
      <c r="AU141">
        <v>5</v>
      </c>
      <c r="AV141" s="1">
        <f t="shared" si="96"/>
        <v>1.25</v>
      </c>
      <c r="AW141">
        <f t="shared" si="79"/>
        <v>-34.353758187680064</v>
      </c>
      <c r="AX141">
        <f t="shared" si="80"/>
        <v>14.980220355098439</v>
      </c>
      <c r="AY141">
        <f t="shared" si="81"/>
        <v>4.66654309639339</v>
      </c>
      <c r="BB141">
        <v>5</v>
      </c>
      <c r="BC141" s="1">
        <f t="shared" si="97"/>
        <v>1</v>
      </c>
      <c r="BD141">
        <f t="shared" si="82"/>
        <v>-56.258930032323832</v>
      </c>
      <c r="BE141">
        <f t="shared" si="83"/>
        <v>0.59790381257844571</v>
      </c>
      <c r="BF141">
        <f t="shared" si="84"/>
        <v>0.59790381257844571</v>
      </c>
      <c r="BI141">
        <v>5</v>
      </c>
      <c r="BJ141" s="1">
        <f t="shared" si="98"/>
        <v>1</v>
      </c>
      <c r="BK141">
        <f t="shared" si="85"/>
        <v>-33.75585437510162</v>
      </c>
      <c r="BL141">
        <f t="shared" si="86"/>
        <v>14.239150387422271</v>
      </c>
      <c r="BM141">
        <f t="shared" si="87"/>
        <v>-0.90186493425140313</v>
      </c>
      <c r="BP141">
        <f t="shared" si="88"/>
        <v>4.2426406871192857</v>
      </c>
      <c r="BQ141">
        <v>5</v>
      </c>
      <c r="BR141">
        <f t="shared" si="89"/>
        <v>1.4142135623730951</v>
      </c>
      <c r="BS141">
        <f t="shared" si="90"/>
        <v>-47.741519233052877</v>
      </c>
      <c r="BT141">
        <f t="shared" si="91"/>
        <v>-3.5321662929987951E-3</v>
      </c>
      <c r="BU141">
        <f t="shared" si="92"/>
        <v>-0.19939948441294583</v>
      </c>
    </row>
    <row r="142" spans="2:73" x14ac:dyDescent="0.25">
      <c r="Z142" s="1">
        <v>6</v>
      </c>
      <c r="AA142" s="1">
        <f t="shared" si="93"/>
        <v>1.5</v>
      </c>
      <c r="AB142" s="1">
        <f t="shared" si="70"/>
        <v>-24.418140102818782</v>
      </c>
      <c r="AC142" s="1">
        <f t="shared" si="71"/>
        <v>4.4007809241677602</v>
      </c>
      <c r="AD142" s="1">
        <f t="shared" si="72"/>
        <v>3.1176073322024536</v>
      </c>
      <c r="AE142" s="1"/>
      <c r="AF142" s="1"/>
      <c r="AG142">
        <v>6</v>
      </c>
      <c r="AH142" s="1">
        <f t="shared" si="94"/>
        <v>1.2</v>
      </c>
      <c r="AI142">
        <f t="shared" si="73"/>
        <v>-33.530259322357061</v>
      </c>
      <c r="AJ142">
        <f t="shared" si="74"/>
        <v>7.7749806367556857</v>
      </c>
      <c r="AK142">
        <f t="shared" si="75"/>
        <v>5.1303173308964354</v>
      </c>
      <c r="AN142">
        <v>6</v>
      </c>
      <c r="AO142" s="1">
        <f t="shared" si="95"/>
        <v>1.2</v>
      </c>
      <c r="AP142">
        <f t="shared" si="76"/>
        <v>-55.805239718342754</v>
      </c>
      <c r="AQ142">
        <f t="shared" si="77"/>
        <v>-0.82349886532300287</v>
      </c>
      <c r="AR142">
        <f t="shared" si="78"/>
        <v>-0.98819863838760336</v>
      </c>
      <c r="AU142">
        <v>6</v>
      </c>
      <c r="AV142" s="1">
        <f t="shared" si="96"/>
        <v>1.5</v>
      </c>
      <c r="AW142">
        <f t="shared" si="79"/>
        <v>-34.353758187680064</v>
      </c>
      <c r="AX142">
        <f t="shared" si="80"/>
        <v>11.980220355098439</v>
      </c>
      <c r="AY142">
        <f t="shared" si="81"/>
        <v>8.0365981851680033</v>
      </c>
      <c r="BB142">
        <v>6</v>
      </c>
      <c r="BC142" s="1">
        <f t="shared" si="97"/>
        <v>1.2</v>
      </c>
      <c r="BD142">
        <f t="shared" si="82"/>
        <v>-56.258930032323832</v>
      </c>
      <c r="BE142">
        <f t="shared" si="83"/>
        <v>0.59790381257844571</v>
      </c>
      <c r="BF142">
        <f t="shared" si="84"/>
        <v>0.71748457509413488</v>
      </c>
      <c r="BI142">
        <v>6</v>
      </c>
      <c r="BJ142" s="1">
        <f t="shared" si="98"/>
        <v>1.2</v>
      </c>
      <c r="BK142">
        <f t="shared" si="85"/>
        <v>-33.75585437510162</v>
      </c>
      <c r="BL142">
        <f t="shared" si="86"/>
        <v>11.839150387422272</v>
      </c>
      <c r="BM142">
        <f t="shared" si="87"/>
        <v>1.7059651432330476</v>
      </c>
      <c r="BP142">
        <f t="shared" si="88"/>
        <v>3.9597979746446663</v>
      </c>
      <c r="BQ142">
        <v>6</v>
      </c>
      <c r="BR142">
        <f t="shared" si="89"/>
        <v>1.6970562748477143</v>
      </c>
      <c r="BS142">
        <f t="shared" si="90"/>
        <v>-47.741519233052877</v>
      </c>
      <c r="BT142">
        <f t="shared" si="91"/>
        <v>-3.5321662929987951E-3</v>
      </c>
      <c r="BU142">
        <f t="shared" si="92"/>
        <v>-0.19840043691772263</v>
      </c>
    </row>
    <row r="143" spans="2:73" x14ac:dyDescent="0.25">
      <c r="Z143" s="1">
        <v>7</v>
      </c>
      <c r="AA143" s="1">
        <f t="shared" si="93"/>
        <v>1.75</v>
      </c>
      <c r="AB143" s="1">
        <f t="shared" si="70"/>
        <v>-25.378140102818783</v>
      </c>
      <c r="AC143" s="1">
        <f t="shared" si="71"/>
        <v>3.1207809241677591</v>
      </c>
      <c r="AD143" s="1">
        <f t="shared" si="72"/>
        <v>4.0578025632443957</v>
      </c>
      <c r="AE143" s="1"/>
      <c r="AF143" s="1"/>
      <c r="AG143">
        <v>7</v>
      </c>
      <c r="AH143" s="1">
        <f t="shared" si="94"/>
        <v>1.4</v>
      </c>
      <c r="AI143">
        <f t="shared" si="73"/>
        <v>-33.530259322357061</v>
      </c>
      <c r="AJ143">
        <f t="shared" si="74"/>
        <v>5.3749806367556872</v>
      </c>
      <c r="AK143">
        <f t="shared" si="75"/>
        <v>6.445313458247572</v>
      </c>
      <c r="AN143">
        <v>7</v>
      </c>
      <c r="AO143" s="1">
        <f t="shared" si="95"/>
        <v>1.4</v>
      </c>
      <c r="AP143">
        <f t="shared" si="76"/>
        <v>-55.805239718342754</v>
      </c>
      <c r="AQ143">
        <f t="shared" si="77"/>
        <v>-0.82349886532300287</v>
      </c>
      <c r="AR143">
        <f t="shared" si="78"/>
        <v>-1.1528984114522038</v>
      </c>
      <c r="AU143">
        <v>7</v>
      </c>
      <c r="AV143" s="1">
        <f t="shared" si="96"/>
        <v>1.75</v>
      </c>
      <c r="AW143">
        <f t="shared" si="79"/>
        <v>-34.353758187680064</v>
      </c>
      <c r="AX143">
        <f t="shared" si="80"/>
        <v>8.9802203550984387</v>
      </c>
      <c r="AY143">
        <f t="shared" si="81"/>
        <v>10.656653273942617</v>
      </c>
      <c r="BB143">
        <v>7</v>
      </c>
      <c r="BC143" s="1">
        <f t="shared" si="97"/>
        <v>1.4</v>
      </c>
      <c r="BD143">
        <f t="shared" si="82"/>
        <v>-56.258930032323832</v>
      </c>
      <c r="BE143">
        <f t="shared" si="83"/>
        <v>0.59790381257844571</v>
      </c>
      <c r="BF143">
        <f t="shared" si="84"/>
        <v>0.83706533760982393</v>
      </c>
      <c r="BI143">
        <v>7</v>
      </c>
      <c r="BJ143" s="1">
        <f t="shared" si="98"/>
        <v>1.4</v>
      </c>
      <c r="BK143">
        <f t="shared" si="85"/>
        <v>-33.75585437510162</v>
      </c>
      <c r="BL143">
        <f t="shared" si="86"/>
        <v>9.4391503874222735</v>
      </c>
      <c r="BM143">
        <f t="shared" si="87"/>
        <v>3.8337952207175015</v>
      </c>
      <c r="BP143">
        <f t="shared" si="88"/>
        <v>3.6769552621700474</v>
      </c>
      <c r="BQ143">
        <v>7</v>
      </c>
      <c r="BR143">
        <f t="shared" si="89"/>
        <v>1.9798989873223332</v>
      </c>
      <c r="BS143">
        <f t="shared" si="90"/>
        <v>-47.741519233052877</v>
      </c>
      <c r="BT143">
        <f t="shared" si="91"/>
        <v>-3.5321662929987951E-3</v>
      </c>
      <c r="BU143">
        <f t="shared" si="92"/>
        <v>-0.19740138942249943</v>
      </c>
    </row>
    <row r="144" spans="2:73" x14ac:dyDescent="0.25">
      <c r="Z144" s="1">
        <v>8</v>
      </c>
      <c r="AA144" s="1">
        <f t="shared" si="93"/>
        <v>2</v>
      </c>
      <c r="AB144" s="1">
        <f t="shared" si="70"/>
        <v>-26.338140102818784</v>
      </c>
      <c r="AC144" s="1">
        <f t="shared" si="71"/>
        <v>1.8407809241677597</v>
      </c>
      <c r="AD144" s="1">
        <f t="shared" si="72"/>
        <v>4.677997794286334</v>
      </c>
      <c r="AE144" s="1"/>
      <c r="AF144" s="1"/>
      <c r="AG144">
        <v>8</v>
      </c>
      <c r="AH144" s="1">
        <f t="shared" si="94"/>
        <v>1.6</v>
      </c>
      <c r="AI144">
        <f t="shared" si="73"/>
        <v>-33.530259322357061</v>
      </c>
      <c r="AJ144">
        <f t="shared" si="74"/>
        <v>2.9749806367556815</v>
      </c>
      <c r="AK144">
        <f t="shared" si="75"/>
        <v>7.2803095855987046</v>
      </c>
      <c r="AN144">
        <v>8</v>
      </c>
      <c r="AO144" s="1">
        <f t="shared" si="95"/>
        <v>1.6</v>
      </c>
      <c r="AP144">
        <f t="shared" si="76"/>
        <v>-55.805239718342754</v>
      </c>
      <c r="AQ144">
        <f t="shared" si="77"/>
        <v>-0.82349886532300287</v>
      </c>
      <c r="AR144">
        <f t="shared" si="78"/>
        <v>-1.3175981845168048</v>
      </c>
      <c r="AU144">
        <v>8</v>
      </c>
      <c r="AV144" s="1">
        <f t="shared" si="96"/>
        <v>2</v>
      </c>
      <c r="AW144">
        <f t="shared" si="79"/>
        <v>-34.353758187680064</v>
      </c>
      <c r="AX144">
        <f t="shared" si="80"/>
        <v>5.9802203550984387</v>
      </c>
      <c r="AY144">
        <f t="shared" si="81"/>
        <v>12.526708362717223</v>
      </c>
      <c r="BB144">
        <v>8</v>
      </c>
      <c r="BC144" s="1">
        <f t="shared" si="97"/>
        <v>1.6</v>
      </c>
      <c r="BD144">
        <f t="shared" si="82"/>
        <v>-56.258930032323832</v>
      </c>
      <c r="BE144">
        <f t="shared" si="83"/>
        <v>0.59790381257844571</v>
      </c>
      <c r="BF144">
        <f t="shared" si="84"/>
        <v>0.95664610012551321</v>
      </c>
      <c r="BI144">
        <v>8</v>
      </c>
      <c r="BJ144" s="1">
        <f t="shared" si="98"/>
        <v>1.6</v>
      </c>
      <c r="BK144">
        <f t="shared" si="85"/>
        <v>-33.75585437510162</v>
      </c>
      <c r="BL144">
        <f t="shared" si="86"/>
        <v>7.0391503874222678</v>
      </c>
      <c r="BM144">
        <f t="shared" si="87"/>
        <v>5.481625298201962</v>
      </c>
      <c r="BP144">
        <f t="shared" si="88"/>
        <v>3.3941125496954285</v>
      </c>
      <c r="BQ144">
        <v>8</v>
      </c>
      <c r="BR144">
        <f t="shared" si="89"/>
        <v>2.2627416997969521</v>
      </c>
      <c r="BS144">
        <f t="shared" si="90"/>
        <v>-47.741519233052877</v>
      </c>
      <c r="BT144">
        <f t="shared" si="91"/>
        <v>-3.5321662929987951E-3</v>
      </c>
      <c r="BU144">
        <f t="shared" si="92"/>
        <v>-0.19640234192727624</v>
      </c>
    </row>
    <row r="145" spans="26:73" x14ac:dyDescent="0.25">
      <c r="Z145" s="1">
        <v>9</v>
      </c>
      <c r="AA145" s="1">
        <f t="shared" si="93"/>
        <v>2.25</v>
      </c>
      <c r="AB145" s="1">
        <f t="shared" si="70"/>
        <v>-27.298140102818785</v>
      </c>
      <c r="AC145" s="1">
        <f t="shared" si="71"/>
        <v>0.56078092416776038</v>
      </c>
      <c r="AD145" s="1">
        <f t="shared" si="72"/>
        <v>4.9781930253282738</v>
      </c>
      <c r="AE145" s="1"/>
      <c r="AF145" s="1"/>
      <c r="AG145">
        <v>9</v>
      </c>
      <c r="AH145" s="1">
        <f t="shared" si="94"/>
        <v>1.8</v>
      </c>
      <c r="AI145">
        <f t="shared" si="73"/>
        <v>-33.530259322357061</v>
      </c>
      <c r="AJ145">
        <f t="shared" si="74"/>
        <v>0.57498063675568289</v>
      </c>
      <c r="AK145">
        <f t="shared" si="75"/>
        <v>7.6353057129498474</v>
      </c>
      <c r="AN145">
        <v>9</v>
      </c>
      <c r="AO145" s="1">
        <f t="shared" si="95"/>
        <v>1.8</v>
      </c>
      <c r="AP145">
        <f t="shared" si="76"/>
        <v>-55.805239718342754</v>
      </c>
      <c r="AQ145">
        <f t="shared" si="77"/>
        <v>-0.82349886532300287</v>
      </c>
      <c r="AR145">
        <f t="shared" si="78"/>
        <v>-1.4822979575814053</v>
      </c>
      <c r="AU145">
        <v>9</v>
      </c>
      <c r="AV145" s="1">
        <f t="shared" si="96"/>
        <v>2.25</v>
      </c>
      <c r="AW145">
        <f t="shared" si="79"/>
        <v>-34.353758187680064</v>
      </c>
      <c r="AX145">
        <f t="shared" si="80"/>
        <v>2.9802203550984387</v>
      </c>
      <c r="AY145">
        <f t="shared" si="81"/>
        <v>13.646763451491829</v>
      </c>
      <c r="BB145">
        <v>9</v>
      </c>
      <c r="BC145" s="1">
        <f t="shared" si="97"/>
        <v>1.8</v>
      </c>
      <c r="BD145">
        <f t="shared" si="82"/>
        <v>-56.258930032323832</v>
      </c>
      <c r="BE145">
        <f t="shared" si="83"/>
        <v>0.59790381257844571</v>
      </c>
      <c r="BF145">
        <f t="shared" si="84"/>
        <v>1.0762268626412024</v>
      </c>
      <c r="BI145">
        <v>9</v>
      </c>
      <c r="BJ145" s="1">
        <f t="shared" si="98"/>
        <v>1.8</v>
      </c>
      <c r="BK145">
        <f t="shared" si="85"/>
        <v>-33.75585437510162</v>
      </c>
      <c r="BL145">
        <f t="shared" si="86"/>
        <v>4.6391503874222693</v>
      </c>
      <c r="BM145">
        <f t="shared" si="87"/>
        <v>6.649455375686415</v>
      </c>
      <c r="BP145">
        <f t="shared" si="88"/>
        <v>3.1112698372208092</v>
      </c>
      <c r="BQ145">
        <v>9</v>
      </c>
      <c r="BR145">
        <f t="shared" si="89"/>
        <v>2.5455844122715714</v>
      </c>
      <c r="BS145">
        <f t="shared" si="90"/>
        <v>-47.741519233052877</v>
      </c>
      <c r="BT145">
        <f t="shared" si="91"/>
        <v>-3.5321662929987951E-3</v>
      </c>
      <c r="BU145">
        <f t="shared" si="92"/>
        <v>-0.19540329443205304</v>
      </c>
    </row>
    <row r="146" spans="26:73" x14ac:dyDescent="0.25">
      <c r="Z146" s="1">
        <v>10</v>
      </c>
      <c r="AA146" s="1">
        <f t="shared" si="93"/>
        <v>2.5</v>
      </c>
      <c r="AB146" s="1">
        <f t="shared" si="70"/>
        <v>-28.258140102818786</v>
      </c>
      <c r="AC146" s="1">
        <f t="shared" si="71"/>
        <v>-0.71921907583224076</v>
      </c>
      <c r="AD146" s="1">
        <f t="shared" si="72"/>
        <v>4.9583882563702133</v>
      </c>
      <c r="AE146" s="1"/>
      <c r="AF146" s="1"/>
      <c r="AG146">
        <v>10</v>
      </c>
      <c r="AH146" s="1">
        <f t="shared" si="94"/>
        <v>2</v>
      </c>
      <c r="AI146">
        <f t="shared" si="73"/>
        <v>-33.530259322357061</v>
      </c>
      <c r="AJ146">
        <f t="shared" si="74"/>
        <v>-1.8250193632443157</v>
      </c>
      <c r="AK146">
        <f t="shared" si="75"/>
        <v>7.5103018403009827</v>
      </c>
      <c r="AN146">
        <v>10</v>
      </c>
      <c r="AO146" s="1">
        <f t="shared" si="95"/>
        <v>2</v>
      </c>
      <c r="AP146">
        <f t="shared" si="76"/>
        <v>-55.805239718342754</v>
      </c>
      <c r="AQ146">
        <f t="shared" si="77"/>
        <v>-0.82349886532300287</v>
      </c>
      <c r="AR146">
        <f t="shared" si="78"/>
        <v>-1.6469977306460057</v>
      </c>
      <c r="AU146">
        <v>10</v>
      </c>
      <c r="AV146" s="1">
        <f t="shared" si="96"/>
        <v>2.5</v>
      </c>
      <c r="AW146">
        <f t="shared" si="79"/>
        <v>-34.353758187680064</v>
      </c>
      <c r="AX146">
        <f t="shared" si="80"/>
        <v>-1.9779644901561255E-2</v>
      </c>
      <c r="AY146">
        <f t="shared" si="81"/>
        <v>14.016818540266435</v>
      </c>
      <c r="BB146">
        <v>10</v>
      </c>
      <c r="BC146" s="1">
        <f t="shared" si="97"/>
        <v>2</v>
      </c>
      <c r="BD146">
        <f t="shared" si="82"/>
        <v>-56.258930032323832</v>
      </c>
      <c r="BE146">
        <f t="shared" si="83"/>
        <v>0.59790381257844571</v>
      </c>
      <c r="BF146">
        <f t="shared" si="84"/>
        <v>1.1958076251568914</v>
      </c>
      <c r="BI146">
        <v>10</v>
      </c>
      <c r="BJ146" s="1">
        <f t="shared" si="98"/>
        <v>2</v>
      </c>
      <c r="BK146">
        <f t="shared" si="85"/>
        <v>-33.75585437510162</v>
      </c>
      <c r="BL146">
        <f t="shared" si="86"/>
        <v>2.2391503874222707</v>
      </c>
      <c r="BM146">
        <f t="shared" si="87"/>
        <v>7.3372854531708676</v>
      </c>
      <c r="BP146">
        <f t="shared" si="88"/>
        <v>2.8284271247461903</v>
      </c>
      <c r="BQ146">
        <v>10</v>
      </c>
      <c r="BR146">
        <f t="shared" si="89"/>
        <v>2.8284271247461903</v>
      </c>
      <c r="BS146">
        <f t="shared" si="90"/>
        <v>-47.741519233052877</v>
      </c>
      <c r="BT146">
        <f t="shared" si="91"/>
        <v>-3.5321662929987951E-3</v>
      </c>
      <c r="BU146">
        <f t="shared" si="92"/>
        <v>-0.19440424693682984</v>
      </c>
    </row>
    <row r="147" spans="26:73" x14ac:dyDescent="0.25">
      <c r="Z147" s="1">
        <v>11</v>
      </c>
      <c r="AA147" s="1">
        <f t="shared" si="93"/>
        <v>2.75</v>
      </c>
      <c r="AB147" s="1">
        <f t="shared" si="70"/>
        <v>-29.218140102818783</v>
      </c>
      <c r="AC147" s="1">
        <f t="shared" si="71"/>
        <v>-1.9992190758322401</v>
      </c>
      <c r="AD147" s="1">
        <f t="shared" si="72"/>
        <v>4.6185834874121525</v>
      </c>
      <c r="AE147" s="1"/>
      <c r="AF147" s="1"/>
      <c r="AG147">
        <v>11</v>
      </c>
      <c r="AH147" s="1">
        <f t="shared" si="94"/>
        <v>2.2000000000000002</v>
      </c>
      <c r="AI147">
        <f t="shared" si="73"/>
        <v>-33.530259322357061</v>
      </c>
      <c r="AJ147">
        <f t="shared" si="74"/>
        <v>-4.2250193632443178</v>
      </c>
      <c r="AK147">
        <f t="shared" si="75"/>
        <v>6.9052979676521176</v>
      </c>
      <c r="AN147">
        <v>11</v>
      </c>
      <c r="AO147" s="1">
        <f t="shared" si="95"/>
        <v>2.2000000000000002</v>
      </c>
      <c r="AP147">
        <f t="shared" si="76"/>
        <v>-55.805239718342754</v>
      </c>
      <c r="AQ147">
        <f t="shared" si="77"/>
        <v>-0.82349886532300287</v>
      </c>
      <c r="AR147">
        <f t="shared" si="78"/>
        <v>-1.8116975037106064</v>
      </c>
      <c r="AU147">
        <v>11</v>
      </c>
      <c r="AV147" s="1">
        <f t="shared" si="96"/>
        <v>2.75</v>
      </c>
      <c r="AW147">
        <f t="shared" si="79"/>
        <v>-34.353758187680064</v>
      </c>
      <c r="AX147">
        <f t="shared" si="80"/>
        <v>-3.0197796449015613</v>
      </c>
      <c r="AY147">
        <f t="shared" si="81"/>
        <v>13.636873629041055</v>
      </c>
      <c r="BB147">
        <v>11</v>
      </c>
      <c r="BC147" s="1">
        <f t="shared" si="97"/>
        <v>2.2000000000000002</v>
      </c>
      <c r="BD147">
        <f t="shared" si="82"/>
        <v>-56.258930032323832</v>
      </c>
      <c r="BE147">
        <f t="shared" si="83"/>
        <v>0.59790381257844571</v>
      </c>
      <c r="BF147">
        <f t="shared" si="84"/>
        <v>1.3153883876725807</v>
      </c>
      <c r="BI147">
        <v>11</v>
      </c>
      <c r="BJ147" s="1">
        <f t="shared" si="98"/>
        <v>2.2000000000000002</v>
      </c>
      <c r="BK147">
        <f t="shared" si="85"/>
        <v>-33.75585437510162</v>
      </c>
      <c r="BL147">
        <f t="shared" si="86"/>
        <v>-0.16084961257773145</v>
      </c>
      <c r="BM147">
        <f t="shared" si="87"/>
        <v>7.5451155306553233</v>
      </c>
      <c r="BP147">
        <f t="shared" si="88"/>
        <v>2.5455844122715714</v>
      </c>
      <c r="BQ147">
        <v>11</v>
      </c>
      <c r="BR147">
        <f t="shared" si="89"/>
        <v>3.1112698372208092</v>
      </c>
      <c r="BS147">
        <f t="shared" si="90"/>
        <v>-47.741519233052877</v>
      </c>
      <c r="BT147">
        <f t="shared" si="91"/>
        <v>-3.5321662929987951E-3</v>
      </c>
      <c r="BU147">
        <f t="shared" si="92"/>
        <v>-0.19340519944160664</v>
      </c>
    </row>
    <row r="148" spans="26:73" x14ac:dyDescent="0.25">
      <c r="Z148" s="1">
        <v>12</v>
      </c>
      <c r="AA148" s="1">
        <f t="shared" si="93"/>
        <v>3</v>
      </c>
      <c r="AB148" s="1">
        <f t="shared" si="70"/>
        <v>-30.178140102818784</v>
      </c>
      <c r="AC148" s="1">
        <f t="shared" si="71"/>
        <v>-3.2792190758322395</v>
      </c>
      <c r="AD148" s="1">
        <f t="shared" si="72"/>
        <v>3.9587787184540915</v>
      </c>
      <c r="AE148" s="1"/>
      <c r="AF148" s="1"/>
      <c r="AG148">
        <v>12</v>
      </c>
      <c r="AH148" s="1">
        <f t="shared" si="94"/>
        <v>2.4</v>
      </c>
      <c r="AI148">
        <f t="shared" si="73"/>
        <v>-33.530259322357061</v>
      </c>
      <c r="AJ148">
        <f t="shared" si="74"/>
        <v>-6.6250193632443128</v>
      </c>
      <c r="AK148">
        <f t="shared" si="75"/>
        <v>5.8202940950032556</v>
      </c>
      <c r="AN148">
        <v>12</v>
      </c>
      <c r="AO148" s="1">
        <f t="shared" si="95"/>
        <v>2.4</v>
      </c>
      <c r="AP148">
        <f t="shared" si="76"/>
        <v>-55.805239718342754</v>
      </c>
      <c r="AQ148">
        <f t="shared" si="77"/>
        <v>-0.82349886532300287</v>
      </c>
      <c r="AR148">
        <f t="shared" si="78"/>
        <v>-1.9763972767752067</v>
      </c>
      <c r="AU148">
        <v>12</v>
      </c>
      <c r="AV148" s="1">
        <f t="shared" si="96"/>
        <v>3</v>
      </c>
      <c r="AW148">
        <f t="shared" si="79"/>
        <v>-34.353758187680064</v>
      </c>
      <c r="AX148">
        <f t="shared" si="80"/>
        <v>-6.0197796449015613</v>
      </c>
      <c r="AY148">
        <f t="shared" si="81"/>
        <v>12.506928717815661</v>
      </c>
      <c r="BB148">
        <v>12</v>
      </c>
      <c r="BC148" s="1">
        <f t="shared" si="97"/>
        <v>2.4</v>
      </c>
      <c r="BD148">
        <f t="shared" si="82"/>
        <v>-56.258930032323832</v>
      </c>
      <c r="BE148">
        <f t="shared" si="83"/>
        <v>0.59790381257844571</v>
      </c>
      <c r="BF148">
        <f t="shared" si="84"/>
        <v>1.4349691501882698</v>
      </c>
      <c r="BI148">
        <v>12</v>
      </c>
      <c r="BJ148" s="1">
        <f t="shared" si="98"/>
        <v>2.4</v>
      </c>
      <c r="BK148">
        <f t="shared" si="85"/>
        <v>-33.75585437510162</v>
      </c>
      <c r="BL148">
        <f t="shared" si="86"/>
        <v>-2.5608496125777265</v>
      </c>
      <c r="BM148">
        <f t="shared" si="87"/>
        <v>7.2729456081397643</v>
      </c>
      <c r="BP148">
        <f t="shared" si="88"/>
        <v>2.2627416997969521</v>
      </c>
      <c r="BQ148">
        <v>12</v>
      </c>
      <c r="BR148">
        <f t="shared" si="89"/>
        <v>3.3941125496954285</v>
      </c>
      <c r="BS148">
        <f t="shared" si="90"/>
        <v>-47.741519233052877</v>
      </c>
      <c r="BT148">
        <f t="shared" si="91"/>
        <v>-3.5321662929987951E-3</v>
      </c>
      <c r="BU148">
        <f t="shared" si="92"/>
        <v>-0.19240615194638344</v>
      </c>
    </row>
    <row r="149" spans="26:73" x14ac:dyDescent="0.25">
      <c r="Z149" s="1">
        <v>13</v>
      </c>
      <c r="AA149" s="1">
        <f t="shared" si="93"/>
        <v>3.25</v>
      </c>
      <c r="AB149" s="1">
        <f t="shared" si="70"/>
        <v>-31.138140102818785</v>
      </c>
      <c r="AC149" s="1">
        <f t="shared" si="71"/>
        <v>-4.5592190758322406</v>
      </c>
      <c r="AD149" s="1">
        <f t="shared" si="72"/>
        <v>2.9789739494960301</v>
      </c>
      <c r="AE149" s="1"/>
      <c r="AF149" s="1"/>
      <c r="AG149">
        <v>13</v>
      </c>
      <c r="AH149" s="1">
        <f t="shared" si="94"/>
        <v>2.6</v>
      </c>
      <c r="AI149">
        <f t="shared" si="73"/>
        <v>-33.530259322357061</v>
      </c>
      <c r="AJ149">
        <f t="shared" si="74"/>
        <v>-9.0250193632443185</v>
      </c>
      <c r="AK149">
        <f t="shared" si="75"/>
        <v>4.2552902223543896</v>
      </c>
      <c r="AN149">
        <v>13</v>
      </c>
      <c r="AO149" s="1">
        <f t="shared" si="95"/>
        <v>2.6</v>
      </c>
      <c r="AP149">
        <f t="shared" si="76"/>
        <v>-55.805239718342754</v>
      </c>
      <c r="AQ149">
        <f t="shared" si="77"/>
        <v>-0.82349886532300287</v>
      </c>
      <c r="AR149">
        <f t="shared" si="78"/>
        <v>-2.1410970498398076</v>
      </c>
      <c r="AU149">
        <v>13</v>
      </c>
      <c r="AV149" s="1">
        <f t="shared" si="96"/>
        <v>3.25</v>
      </c>
      <c r="AW149">
        <f t="shared" si="79"/>
        <v>-34.353758187680064</v>
      </c>
      <c r="AX149">
        <f t="shared" si="80"/>
        <v>-9.0197796449015613</v>
      </c>
      <c r="AY149">
        <f t="shared" si="81"/>
        <v>10.626983806590268</v>
      </c>
      <c r="BB149">
        <v>13</v>
      </c>
      <c r="BC149" s="1">
        <f t="shared" si="97"/>
        <v>2.6</v>
      </c>
      <c r="BD149">
        <f t="shared" si="82"/>
        <v>-56.258930032323832</v>
      </c>
      <c r="BE149">
        <f t="shared" si="83"/>
        <v>0.59790381257844571</v>
      </c>
      <c r="BF149">
        <f t="shared" si="84"/>
        <v>1.5545499127039588</v>
      </c>
      <c r="BI149">
        <v>13</v>
      </c>
      <c r="BJ149" s="1">
        <f t="shared" si="98"/>
        <v>2.6</v>
      </c>
      <c r="BK149">
        <f t="shared" si="85"/>
        <v>-33.75585437510162</v>
      </c>
      <c r="BL149">
        <f t="shared" si="86"/>
        <v>-4.9608496125777322</v>
      </c>
      <c r="BM149">
        <f t="shared" si="87"/>
        <v>6.5207756856242298</v>
      </c>
      <c r="BP149">
        <f t="shared" si="88"/>
        <v>1.9798989873223327</v>
      </c>
      <c r="BQ149">
        <v>13</v>
      </c>
      <c r="BR149">
        <f t="shared" si="89"/>
        <v>3.6769552621700479</v>
      </c>
      <c r="BS149">
        <f t="shared" si="90"/>
        <v>-47.741519233052877</v>
      </c>
      <c r="BT149">
        <f t="shared" si="91"/>
        <v>-3.5321662929987951E-3</v>
      </c>
      <c r="BU149">
        <f t="shared" si="92"/>
        <v>-0.19140710445116024</v>
      </c>
    </row>
    <row r="150" spans="26:73" x14ac:dyDescent="0.25">
      <c r="Z150" s="1">
        <v>14</v>
      </c>
      <c r="AA150" s="1">
        <f t="shared" si="93"/>
        <v>3.5</v>
      </c>
      <c r="AB150" s="1">
        <f t="shared" si="70"/>
        <v>-32.098140102818782</v>
      </c>
      <c r="AC150" s="1">
        <f t="shared" si="71"/>
        <v>-5.8392190758322418</v>
      </c>
      <c r="AD150" s="1">
        <f t="shared" si="72"/>
        <v>1.6791691805379756</v>
      </c>
      <c r="AE150" s="1"/>
      <c r="AF150" s="1"/>
      <c r="AG150">
        <v>14</v>
      </c>
      <c r="AH150" s="1">
        <f t="shared" si="94"/>
        <v>2.8</v>
      </c>
      <c r="AI150">
        <f t="shared" si="73"/>
        <v>-33.530259322357061</v>
      </c>
      <c r="AJ150">
        <f t="shared" si="74"/>
        <v>-11.42501936324431</v>
      </c>
      <c r="AK150">
        <f t="shared" si="75"/>
        <v>2.2102863497055338</v>
      </c>
      <c r="AN150">
        <v>14</v>
      </c>
      <c r="AO150" s="1">
        <f t="shared" si="95"/>
        <v>2.8</v>
      </c>
      <c r="AP150">
        <f t="shared" si="76"/>
        <v>-55.805239718342754</v>
      </c>
      <c r="AQ150">
        <f t="shared" si="77"/>
        <v>-0.82349886532300287</v>
      </c>
      <c r="AR150">
        <f t="shared" si="78"/>
        <v>-2.3057968229044077</v>
      </c>
      <c r="AU150">
        <v>14</v>
      </c>
      <c r="AV150" s="1">
        <f t="shared" si="96"/>
        <v>3.5</v>
      </c>
      <c r="AW150">
        <f t="shared" si="79"/>
        <v>-34.353758187680064</v>
      </c>
      <c r="AX150">
        <f t="shared" si="80"/>
        <v>-12.019779644901561</v>
      </c>
      <c r="AY150">
        <f t="shared" si="81"/>
        <v>7.9970388953648879</v>
      </c>
      <c r="BB150">
        <v>14</v>
      </c>
      <c r="BC150" s="1">
        <f t="shared" si="97"/>
        <v>2.8</v>
      </c>
      <c r="BD150">
        <f t="shared" si="82"/>
        <v>-56.258930032323832</v>
      </c>
      <c r="BE150">
        <f t="shared" si="83"/>
        <v>0.59790381257844571</v>
      </c>
      <c r="BF150">
        <f t="shared" si="84"/>
        <v>1.6741306752196479</v>
      </c>
      <c r="BI150">
        <v>14</v>
      </c>
      <c r="BJ150" s="1">
        <f t="shared" si="98"/>
        <v>2.8</v>
      </c>
      <c r="BK150">
        <f t="shared" si="85"/>
        <v>-33.75585437510162</v>
      </c>
      <c r="BL150">
        <f t="shared" si="86"/>
        <v>-7.3608496125777236</v>
      </c>
      <c r="BM150">
        <f t="shared" si="87"/>
        <v>5.2886057631086771</v>
      </c>
      <c r="BP150">
        <f t="shared" si="88"/>
        <v>1.6970562748477143</v>
      </c>
      <c r="BQ150">
        <v>14</v>
      </c>
      <c r="BR150">
        <f t="shared" si="89"/>
        <v>3.9597979746446663</v>
      </c>
      <c r="BS150">
        <f t="shared" si="90"/>
        <v>-47.741519233052877</v>
      </c>
      <c r="BT150">
        <f t="shared" si="91"/>
        <v>-3.5321662929987951E-3</v>
      </c>
      <c r="BU150">
        <f t="shared" si="92"/>
        <v>-0.19040805695593704</v>
      </c>
    </row>
    <row r="151" spans="26:73" x14ac:dyDescent="0.25">
      <c r="Z151" s="1">
        <v>15</v>
      </c>
      <c r="AA151" s="1">
        <f t="shared" si="93"/>
        <v>3.75</v>
      </c>
      <c r="AB151" s="1">
        <f t="shared" si="70"/>
        <v>-33.058140102818783</v>
      </c>
      <c r="AC151" s="1">
        <f t="shared" si="71"/>
        <v>-7.1192190758322393</v>
      </c>
      <c r="AD151" s="1">
        <f t="shared" si="72"/>
        <v>5.9364411579913678E-2</v>
      </c>
      <c r="AE151" s="1"/>
      <c r="AF151" s="1"/>
      <c r="AG151">
        <v>15</v>
      </c>
      <c r="AH151" s="1">
        <f t="shared" si="94"/>
        <v>3</v>
      </c>
      <c r="AI151">
        <f t="shared" si="73"/>
        <v>-33.530259322357061</v>
      </c>
      <c r="AJ151">
        <f t="shared" si="74"/>
        <v>-13.825019363244316</v>
      </c>
      <c r="AK151">
        <f t="shared" si="75"/>
        <v>-0.3147175229433401</v>
      </c>
      <c r="AN151">
        <v>15</v>
      </c>
      <c r="AO151" s="1">
        <f t="shared" si="95"/>
        <v>3</v>
      </c>
      <c r="AP151">
        <f t="shared" si="76"/>
        <v>-55.805239718342754</v>
      </c>
      <c r="AQ151">
        <f t="shared" si="77"/>
        <v>-0.82349886532300287</v>
      </c>
      <c r="AR151">
        <f t="shared" si="78"/>
        <v>-2.4704965959690086</v>
      </c>
      <c r="AU151">
        <v>15</v>
      </c>
      <c r="AV151" s="1">
        <f t="shared" si="96"/>
        <v>3.75</v>
      </c>
      <c r="AW151">
        <f t="shared" si="79"/>
        <v>-34.353758187680064</v>
      </c>
      <c r="AX151">
        <f t="shared" si="80"/>
        <v>-15.019779644901561</v>
      </c>
      <c r="AY151">
        <f t="shared" si="81"/>
        <v>4.617093984139494</v>
      </c>
      <c r="BB151">
        <v>15</v>
      </c>
      <c r="BC151" s="1">
        <f t="shared" si="97"/>
        <v>3</v>
      </c>
      <c r="BD151">
        <f t="shared" si="82"/>
        <v>-56.258930032323832</v>
      </c>
      <c r="BE151">
        <f t="shared" si="83"/>
        <v>0.59790381257844571</v>
      </c>
      <c r="BF151">
        <f t="shared" si="84"/>
        <v>1.7937114377353371</v>
      </c>
      <c r="BI151">
        <v>15</v>
      </c>
      <c r="BJ151" s="1">
        <f t="shared" si="98"/>
        <v>3</v>
      </c>
      <c r="BK151">
        <f t="shared" si="85"/>
        <v>-33.75585437510162</v>
      </c>
      <c r="BL151">
        <f t="shared" si="86"/>
        <v>-9.7608496125777293</v>
      </c>
      <c r="BM151">
        <f t="shared" si="87"/>
        <v>3.5764358405931347</v>
      </c>
      <c r="BP151">
        <f t="shared" si="88"/>
        <v>1.4142135623730949</v>
      </c>
      <c r="BQ151">
        <v>15</v>
      </c>
      <c r="BR151">
        <f t="shared" si="89"/>
        <v>4.2426406871192857</v>
      </c>
      <c r="BS151">
        <f t="shared" si="90"/>
        <v>-47.741519233052877</v>
      </c>
      <c r="BT151">
        <f t="shared" si="91"/>
        <v>-3.5321662929987951E-3</v>
      </c>
      <c r="BU151">
        <f t="shared" si="92"/>
        <v>-0.18940900946071385</v>
      </c>
    </row>
    <row r="152" spans="26:73" x14ac:dyDescent="0.25">
      <c r="Z152" s="1">
        <v>16</v>
      </c>
      <c r="AA152" s="1">
        <f t="shared" si="93"/>
        <v>4</v>
      </c>
      <c r="AB152" s="1">
        <f t="shared" si="70"/>
        <v>-34.018140102818784</v>
      </c>
      <c r="AC152" s="1">
        <f t="shared" si="71"/>
        <v>-8.3992190758322405</v>
      </c>
      <c r="AD152" s="1">
        <f t="shared" si="72"/>
        <v>-1.8804403573781485</v>
      </c>
      <c r="AE152" s="1"/>
      <c r="AF152" s="1"/>
      <c r="AG152">
        <v>16</v>
      </c>
      <c r="AH152" s="1">
        <f t="shared" si="94"/>
        <v>3.2</v>
      </c>
      <c r="AI152">
        <f t="shared" si="73"/>
        <v>-33.530259322357061</v>
      </c>
      <c r="AJ152">
        <f t="shared" si="74"/>
        <v>-16.225019363244321</v>
      </c>
      <c r="AK152">
        <f t="shared" si="75"/>
        <v>-3.3197213955922109</v>
      </c>
      <c r="AN152">
        <v>16</v>
      </c>
      <c r="AO152" s="1">
        <f t="shared" si="95"/>
        <v>3.2</v>
      </c>
      <c r="AP152">
        <f t="shared" si="76"/>
        <v>-55.805239718342754</v>
      </c>
      <c r="AQ152">
        <f t="shared" si="77"/>
        <v>-0.82349886532300287</v>
      </c>
      <c r="AR152">
        <f t="shared" si="78"/>
        <v>-2.6351963690336095</v>
      </c>
      <c r="AU152">
        <v>16</v>
      </c>
      <c r="AV152" s="1">
        <f t="shared" si="96"/>
        <v>4</v>
      </c>
      <c r="AW152">
        <f t="shared" si="79"/>
        <v>-34.353758187680064</v>
      </c>
      <c r="AX152">
        <f t="shared" si="80"/>
        <v>-18.019779644901561</v>
      </c>
      <c r="AY152">
        <f t="shared" si="81"/>
        <v>0.48714907291410015</v>
      </c>
      <c r="BB152">
        <v>16</v>
      </c>
      <c r="BC152" s="1">
        <f t="shared" si="97"/>
        <v>3.2</v>
      </c>
      <c r="BD152">
        <f t="shared" si="82"/>
        <v>-56.258930032323832</v>
      </c>
      <c r="BE152">
        <f t="shared" si="83"/>
        <v>0.59790381257844571</v>
      </c>
      <c r="BF152">
        <f t="shared" si="84"/>
        <v>1.9132922002510264</v>
      </c>
      <c r="BI152">
        <v>16</v>
      </c>
      <c r="BJ152" s="1">
        <f t="shared" si="98"/>
        <v>3.2</v>
      </c>
      <c r="BK152">
        <f t="shared" si="85"/>
        <v>-33.75585437510162</v>
      </c>
      <c r="BL152">
        <f t="shared" si="86"/>
        <v>-12.160849612577735</v>
      </c>
      <c r="BM152">
        <f t="shared" si="87"/>
        <v>1.3842659180775883</v>
      </c>
      <c r="BP152">
        <f t="shared" si="88"/>
        <v>1.1313708498984765</v>
      </c>
      <c r="BQ152">
        <v>16</v>
      </c>
      <c r="BR152">
        <f t="shared" si="89"/>
        <v>4.5254833995939041</v>
      </c>
      <c r="BS152">
        <f t="shared" si="90"/>
        <v>-47.741519233052877</v>
      </c>
      <c r="BT152">
        <f t="shared" si="91"/>
        <v>-3.5321662929987951E-3</v>
      </c>
      <c r="BU152">
        <f t="shared" si="92"/>
        <v>-0.18840996196549065</v>
      </c>
    </row>
    <row r="153" spans="26:73" x14ac:dyDescent="0.25">
      <c r="Z153" s="1">
        <v>17</v>
      </c>
      <c r="AA153" s="1">
        <f t="shared" si="93"/>
        <v>4.25</v>
      </c>
      <c r="AB153" s="1">
        <f t="shared" si="70"/>
        <v>-34.978140102818784</v>
      </c>
      <c r="AC153" s="1">
        <f t="shared" si="71"/>
        <v>-9.6792190758322416</v>
      </c>
      <c r="AD153" s="1">
        <f t="shared" si="72"/>
        <v>-4.140245126336211</v>
      </c>
      <c r="AE153" s="1"/>
      <c r="AF153" s="1"/>
      <c r="AG153">
        <v>17</v>
      </c>
      <c r="AH153" s="1">
        <f t="shared" si="94"/>
        <v>3.4</v>
      </c>
      <c r="AI153">
        <f t="shared" si="73"/>
        <v>-33.530259322357061</v>
      </c>
      <c r="AJ153">
        <f t="shared" si="74"/>
        <v>-18.625019363244313</v>
      </c>
      <c r="AK153">
        <f t="shared" si="75"/>
        <v>-6.8047252682410431</v>
      </c>
      <c r="AN153">
        <v>17</v>
      </c>
      <c r="AO153" s="1">
        <f t="shared" si="95"/>
        <v>3.4</v>
      </c>
      <c r="AP153">
        <f t="shared" si="76"/>
        <v>-55.805239718342754</v>
      </c>
      <c r="AQ153">
        <f t="shared" si="77"/>
        <v>-0.82349886532300287</v>
      </c>
      <c r="AR153">
        <f t="shared" si="78"/>
        <v>-2.7998961420982096</v>
      </c>
      <c r="AU153">
        <v>17</v>
      </c>
      <c r="AV153" s="1">
        <f t="shared" si="96"/>
        <v>4.25</v>
      </c>
      <c r="AW153">
        <f t="shared" si="79"/>
        <v>-34.353758187680064</v>
      </c>
      <c r="AX153">
        <f t="shared" si="80"/>
        <v>-21.019779644901561</v>
      </c>
      <c r="AY153">
        <f t="shared" si="81"/>
        <v>-4.3927958383112937</v>
      </c>
      <c r="BB153">
        <v>17</v>
      </c>
      <c r="BC153" s="1">
        <f t="shared" si="97"/>
        <v>3.4</v>
      </c>
      <c r="BD153">
        <f t="shared" si="82"/>
        <v>-56.258930032323832</v>
      </c>
      <c r="BE153">
        <f t="shared" si="83"/>
        <v>0.59790381257844571</v>
      </c>
      <c r="BF153">
        <f t="shared" si="84"/>
        <v>2.0328729627667155</v>
      </c>
      <c r="BI153">
        <v>17</v>
      </c>
      <c r="BJ153" s="1">
        <f t="shared" si="98"/>
        <v>3.4</v>
      </c>
      <c r="BK153">
        <f t="shared" si="85"/>
        <v>-33.75585437510162</v>
      </c>
      <c r="BL153">
        <f t="shared" si="86"/>
        <v>-14.560849612577726</v>
      </c>
      <c r="BM153">
        <f t="shared" si="87"/>
        <v>-1.2879040044379479</v>
      </c>
      <c r="BP153">
        <f t="shared" si="88"/>
        <v>0.84852813742385713</v>
      </c>
      <c r="BQ153">
        <v>17</v>
      </c>
      <c r="BR153">
        <f t="shared" si="89"/>
        <v>4.8083261120685235</v>
      </c>
      <c r="BS153">
        <f t="shared" si="90"/>
        <v>-47.741519233052877</v>
      </c>
      <c r="BT153">
        <f t="shared" si="91"/>
        <v>-3.5321662929987951E-3</v>
      </c>
      <c r="BU153">
        <f t="shared" si="92"/>
        <v>-0.18741091447026745</v>
      </c>
    </row>
    <row r="154" spans="26:73" x14ac:dyDescent="0.25">
      <c r="Z154" s="1">
        <v>18</v>
      </c>
      <c r="AA154" s="1">
        <f t="shared" si="93"/>
        <v>4.5</v>
      </c>
      <c r="AB154" s="1">
        <f t="shared" si="70"/>
        <v>-35.938140102818785</v>
      </c>
      <c r="AC154" s="1">
        <f t="shared" si="71"/>
        <v>-10.959219075832239</v>
      </c>
      <c r="AD154" s="1">
        <f t="shared" si="72"/>
        <v>-6.7200498952942738</v>
      </c>
      <c r="AE154" s="1"/>
      <c r="AF154" s="1"/>
      <c r="AG154">
        <v>18</v>
      </c>
      <c r="AH154" s="1">
        <f t="shared" si="94"/>
        <v>3.6</v>
      </c>
      <c r="AI154">
        <f t="shared" si="73"/>
        <v>-33.530259322357061</v>
      </c>
      <c r="AJ154">
        <f t="shared" si="74"/>
        <v>-21.025019363244319</v>
      </c>
      <c r="AK154">
        <f t="shared" si="75"/>
        <v>-10.769729140889922</v>
      </c>
      <c r="AN154">
        <v>18</v>
      </c>
      <c r="AO154" s="1">
        <f t="shared" si="95"/>
        <v>3.6</v>
      </c>
      <c r="AP154">
        <f t="shared" si="76"/>
        <v>-55.805239718342754</v>
      </c>
      <c r="AQ154">
        <f t="shared" si="77"/>
        <v>-0.82349886532300287</v>
      </c>
      <c r="AR154">
        <f t="shared" si="78"/>
        <v>-2.9645959151628105</v>
      </c>
      <c r="AU154">
        <v>18</v>
      </c>
      <c r="AV154" s="1">
        <f t="shared" si="96"/>
        <v>4.5</v>
      </c>
      <c r="AW154">
        <f t="shared" si="79"/>
        <v>-34.353758187680064</v>
      </c>
      <c r="AX154">
        <f t="shared" si="80"/>
        <v>-24.019779644901561</v>
      </c>
      <c r="AY154">
        <f t="shared" si="81"/>
        <v>-10.022740749536688</v>
      </c>
      <c r="BB154">
        <v>18</v>
      </c>
      <c r="BC154" s="1">
        <f t="shared" si="97"/>
        <v>3.6</v>
      </c>
      <c r="BD154">
        <f t="shared" si="82"/>
        <v>-56.258930032323832</v>
      </c>
      <c r="BE154">
        <f t="shared" si="83"/>
        <v>0.59790381257844571</v>
      </c>
      <c r="BF154">
        <f t="shared" si="84"/>
        <v>2.1524537252824048</v>
      </c>
      <c r="BI154">
        <v>18</v>
      </c>
      <c r="BJ154" s="1">
        <f t="shared" si="98"/>
        <v>3.6</v>
      </c>
      <c r="BK154">
        <f t="shared" si="85"/>
        <v>-33.75585437510162</v>
      </c>
      <c r="BL154">
        <f t="shared" si="86"/>
        <v>-16.960849612577732</v>
      </c>
      <c r="BM154">
        <f t="shared" si="87"/>
        <v>-4.4400739269535023</v>
      </c>
      <c r="BP154">
        <f t="shared" si="88"/>
        <v>0.56568542494923779</v>
      </c>
      <c r="BQ154">
        <v>18</v>
      </c>
      <c r="BR154">
        <f t="shared" si="89"/>
        <v>5.0911688245431428</v>
      </c>
      <c r="BS154">
        <f t="shared" si="90"/>
        <v>-47.741519233052877</v>
      </c>
      <c r="BT154">
        <f t="shared" si="91"/>
        <v>-3.5321662929987951E-3</v>
      </c>
      <c r="BU154">
        <f t="shared" si="92"/>
        <v>-0.18641186697504425</v>
      </c>
    </row>
    <row r="155" spans="26:73" x14ac:dyDescent="0.25">
      <c r="Z155" s="1">
        <v>19</v>
      </c>
      <c r="AA155" s="1">
        <f t="shared" si="93"/>
        <v>4.75</v>
      </c>
      <c r="AB155" s="1">
        <f t="shared" si="70"/>
        <v>-36.898140102818786</v>
      </c>
      <c r="AC155" s="1">
        <f t="shared" si="71"/>
        <v>-12.23921907583224</v>
      </c>
      <c r="AD155" s="1">
        <f t="shared" si="72"/>
        <v>-9.6198546642523226</v>
      </c>
      <c r="AE155" s="1"/>
      <c r="AF155" s="1"/>
      <c r="AG155">
        <v>19</v>
      </c>
      <c r="AH155" s="1">
        <f t="shared" si="94"/>
        <v>3.8</v>
      </c>
      <c r="AI155">
        <f t="shared" si="73"/>
        <v>-33.530259322357061</v>
      </c>
      <c r="AJ155">
        <f t="shared" si="74"/>
        <v>-23.42501936324431</v>
      </c>
      <c r="AK155">
        <f t="shared" si="75"/>
        <v>-15.21473301353879</v>
      </c>
      <c r="AN155">
        <v>19</v>
      </c>
      <c r="AO155" s="1">
        <f t="shared" si="95"/>
        <v>3.8</v>
      </c>
      <c r="AP155">
        <f t="shared" si="76"/>
        <v>-55.805239718342754</v>
      </c>
      <c r="AQ155">
        <f t="shared" si="77"/>
        <v>-0.82349886532300287</v>
      </c>
      <c r="AR155">
        <f t="shared" si="78"/>
        <v>-3.1292956882274106</v>
      </c>
      <c r="AU155">
        <v>19</v>
      </c>
      <c r="AV155" s="1">
        <f t="shared" si="96"/>
        <v>4.75</v>
      </c>
      <c r="AW155">
        <f t="shared" si="79"/>
        <v>-34.353758187680064</v>
      </c>
      <c r="AX155">
        <f t="shared" si="80"/>
        <v>-27.019779644901561</v>
      </c>
      <c r="AY155">
        <f t="shared" si="81"/>
        <v>-16.402685660762067</v>
      </c>
      <c r="BB155">
        <v>19</v>
      </c>
      <c r="BC155" s="1">
        <f t="shared" si="97"/>
        <v>3.8</v>
      </c>
      <c r="BD155">
        <f t="shared" si="82"/>
        <v>-56.258930032323832</v>
      </c>
      <c r="BE155">
        <f t="shared" si="83"/>
        <v>0.59790381257844571</v>
      </c>
      <c r="BF155">
        <f t="shared" si="84"/>
        <v>2.2720344877980936</v>
      </c>
      <c r="BI155">
        <v>19</v>
      </c>
      <c r="BJ155" s="1">
        <f t="shared" si="98"/>
        <v>3.8</v>
      </c>
      <c r="BK155">
        <f t="shared" si="85"/>
        <v>-33.75585437510162</v>
      </c>
      <c r="BL155">
        <f t="shared" si="86"/>
        <v>-19.360849612577724</v>
      </c>
      <c r="BM155">
        <f t="shared" si="87"/>
        <v>-8.0722438494690607</v>
      </c>
      <c r="BP155">
        <f t="shared" si="88"/>
        <v>0.28284271247461934</v>
      </c>
      <c r="BQ155">
        <v>19</v>
      </c>
      <c r="BR155">
        <f t="shared" si="89"/>
        <v>5.3740115370177612</v>
      </c>
      <c r="BS155">
        <f t="shared" si="90"/>
        <v>-47.741519233052877</v>
      </c>
      <c r="BT155">
        <f t="shared" si="91"/>
        <v>-3.5321662929987951E-3</v>
      </c>
      <c r="BU155">
        <f t="shared" si="92"/>
        <v>-0.18541281947982105</v>
      </c>
    </row>
    <row r="156" spans="26:73" x14ac:dyDescent="0.25">
      <c r="Z156" s="1">
        <v>20</v>
      </c>
      <c r="AA156" s="1">
        <f t="shared" si="93"/>
        <v>5</v>
      </c>
      <c r="AB156" s="1">
        <f t="shared" si="70"/>
        <v>-37.85814010281878</v>
      </c>
      <c r="AC156" s="1">
        <f t="shared" si="71"/>
        <v>-13.519219075832241</v>
      </c>
      <c r="AD156" s="1">
        <f t="shared" si="72"/>
        <v>-12.839659433210386</v>
      </c>
      <c r="AE156" s="1"/>
      <c r="AF156" s="1"/>
      <c r="AG156">
        <v>20</v>
      </c>
      <c r="AH156" s="1">
        <f t="shared" si="94"/>
        <v>4</v>
      </c>
      <c r="AI156">
        <f t="shared" si="73"/>
        <v>-33.530259322357061</v>
      </c>
      <c r="AJ156">
        <f t="shared" si="74"/>
        <v>-25.825019363244316</v>
      </c>
      <c r="AK156">
        <f t="shared" si="75"/>
        <v>-20.139736886187649</v>
      </c>
      <c r="AN156">
        <v>20</v>
      </c>
      <c r="AO156" s="1">
        <f t="shared" si="95"/>
        <v>4</v>
      </c>
      <c r="AP156">
        <f t="shared" si="76"/>
        <v>-55.805239718342754</v>
      </c>
      <c r="AQ156">
        <f t="shared" si="77"/>
        <v>-0.82349886532300287</v>
      </c>
      <c r="AR156">
        <f t="shared" si="78"/>
        <v>-3.2939954612920115</v>
      </c>
      <c r="AU156">
        <v>20</v>
      </c>
      <c r="AV156" s="1">
        <f t="shared" si="96"/>
        <v>5</v>
      </c>
      <c r="AW156">
        <f t="shared" si="79"/>
        <v>-34.353758187680064</v>
      </c>
      <c r="AX156">
        <f t="shared" si="80"/>
        <v>-30.019779644901561</v>
      </c>
      <c r="AY156">
        <f t="shared" si="81"/>
        <v>-23.532630571987475</v>
      </c>
      <c r="BB156">
        <v>20</v>
      </c>
      <c r="BC156" s="1">
        <f t="shared" si="97"/>
        <v>4</v>
      </c>
      <c r="BD156">
        <f t="shared" si="82"/>
        <v>-56.258930032323832</v>
      </c>
      <c r="BE156">
        <f t="shared" si="83"/>
        <v>0.59790381257844571</v>
      </c>
      <c r="BF156">
        <f t="shared" si="84"/>
        <v>2.3916152503137829</v>
      </c>
      <c r="BI156">
        <v>20</v>
      </c>
      <c r="BJ156" s="1">
        <f t="shared" si="98"/>
        <v>4</v>
      </c>
      <c r="BK156">
        <f t="shared" si="85"/>
        <v>-33.75585437510162</v>
      </c>
      <c r="BL156">
        <f t="shared" si="86"/>
        <v>-21.760849612577729</v>
      </c>
      <c r="BM156">
        <f t="shared" si="87"/>
        <v>-12.184413771984595</v>
      </c>
      <c r="BP156">
        <f t="shared" si="88"/>
        <v>0</v>
      </c>
      <c r="BQ156">
        <v>20</v>
      </c>
      <c r="BR156">
        <f t="shared" si="89"/>
        <v>5.6568542494923806</v>
      </c>
      <c r="BS156">
        <f t="shared" si="90"/>
        <v>-47.741519233052877</v>
      </c>
      <c r="BT156">
        <f t="shared" si="91"/>
        <v>-3.5321662929987951E-3</v>
      </c>
      <c r="BU156">
        <f t="shared" si="92"/>
        <v>-0.18441377198459785</v>
      </c>
    </row>
    <row r="157" spans="26:73" x14ac:dyDescent="0.25">
      <c r="Z157" s="1"/>
      <c r="AA157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57"/>
  <sheetViews>
    <sheetView topLeftCell="A96" zoomScale="55" zoomScaleNormal="55" workbookViewId="0">
      <selection activeCell="BM118" sqref="BM118"/>
    </sheetView>
  </sheetViews>
  <sheetFormatPr defaultRowHeight="15" x14ac:dyDescent="0.25"/>
  <cols>
    <col min="1" max="1" width="20.85546875" customWidth="1"/>
    <col min="2" max="2" width="20" customWidth="1"/>
    <col min="3" max="3" width="10.42578125" customWidth="1"/>
    <col min="4" max="4" width="9.85546875" customWidth="1"/>
    <col min="5" max="6" width="9.7109375" customWidth="1"/>
    <col min="7" max="7" width="7.85546875" customWidth="1"/>
    <col min="8" max="8" width="7.42578125" customWidth="1"/>
    <col min="12" max="13" width="12" bestFit="1" customWidth="1"/>
    <col min="27" max="27" width="9.140625" customWidth="1"/>
    <col min="28" max="28" width="17.140625" customWidth="1"/>
    <col min="29" max="29" width="19.140625" customWidth="1"/>
    <col min="30" max="30" width="31.7109375" customWidth="1"/>
    <col min="35" max="35" width="13.85546875" customWidth="1"/>
    <col min="36" max="36" width="17.85546875" customWidth="1"/>
    <col min="37" max="37" width="31.42578125" customWidth="1"/>
    <col min="44" max="44" width="10.28515625" customWidth="1"/>
    <col min="48" max="48" width="9.140625" customWidth="1"/>
    <col min="49" max="49" width="20.85546875" customWidth="1"/>
    <col min="50" max="50" width="18.140625" customWidth="1"/>
    <col min="51" max="51" width="31" customWidth="1"/>
    <col min="62" max="62" width="9.42578125" customWidth="1"/>
    <col min="63" max="63" width="23.42578125" customWidth="1"/>
    <col min="64" max="64" width="34.42578125" customWidth="1"/>
    <col min="65" max="65" width="31.7109375" customWidth="1"/>
    <col min="69" max="69" width="11" customWidth="1"/>
    <col min="70" max="70" width="11.5703125" customWidth="1"/>
    <col min="71" max="71" width="12" customWidth="1"/>
    <col min="72" max="72" width="11" customWidth="1"/>
    <col min="73" max="73" width="17.7109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8" t="s">
        <v>126</v>
      </c>
      <c r="C2" s="8"/>
      <c r="D2" s="8" t="s">
        <v>0</v>
      </c>
      <c r="E2" s="8" t="s">
        <v>89</v>
      </c>
      <c r="F2" s="8" t="s">
        <v>88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8" t="s">
        <v>127</v>
      </c>
      <c r="C3" s="8"/>
      <c r="D3" s="8">
        <f>LW</f>
        <v>8</v>
      </c>
      <c r="E3" s="8">
        <f>1.2*W1_</f>
        <v>6</v>
      </c>
      <c r="F3" s="8">
        <f>1.2*W2_</f>
        <v>12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8"/>
      <c r="C4" s="8"/>
      <c r="D4" s="8" t="s">
        <v>17</v>
      </c>
      <c r="E4" s="8" t="s">
        <v>17</v>
      </c>
      <c r="F4" s="8" t="s">
        <v>17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8" t="s">
        <v>182</v>
      </c>
      <c r="D7" s="8" t="s">
        <v>183</v>
      </c>
      <c r="E7" s="8" t="s">
        <v>184</v>
      </c>
      <c r="F7" s="8" t="s">
        <v>185</v>
      </c>
      <c r="G7" s="8" t="s">
        <v>186</v>
      </c>
      <c r="H7" s="8" t="s">
        <v>187</v>
      </c>
      <c r="I7" s="8" t="s">
        <v>188</v>
      </c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8">
        <f>SQRT((S1_*S1_)+(H1_*H1_))</f>
        <v>5</v>
      </c>
      <c r="D8" s="8">
        <v>4</v>
      </c>
      <c r="E8" s="8">
        <f xml:space="preserve"> H1_</f>
        <v>4</v>
      </c>
      <c r="F8" s="8">
        <f xml:space="preserve"> S2_</f>
        <v>5</v>
      </c>
      <c r="G8" s="8">
        <f xml:space="preserve"> H1_</f>
        <v>4</v>
      </c>
      <c r="H8" s="8">
        <v>4</v>
      </c>
      <c r="I8" s="8">
        <f>SQRT((S3_*S3_)+(H1_*H1_))</f>
        <v>5.6568542494923806</v>
      </c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8" t="s">
        <v>13</v>
      </c>
      <c r="D9" s="8" t="s">
        <v>13</v>
      </c>
      <c r="E9" s="8" t="s">
        <v>13</v>
      </c>
      <c r="F9" s="8" t="s">
        <v>13</v>
      </c>
      <c r="G9" s="8" t="s">
        <v>13</v>
      </c>
      <c r="H9" s="8" t="s">
        <v>13</v>
      </c>
      <c r="I9" s="8" t="s">
        <v>13</v>
      </c>
      <c r="J9" s="1"/>
      <c r="K9" s="1"/>
      <c r="L9" s="1"/>
      <c r="M9" s="1"/>
      <c r="N9" s="1"/>
      <c r="O9" s="1"/>
      <c r="P9" s="1"/>
      <c r="Q9" s="1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6.5" thickTop="1" thickBot="1" x14ac:dyDescent="0.3">
      <c r="A11" s="4" t="s">
        <v>37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thickTop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7" t="s">
        <v>189</v>
      </c>
      <c r="M14" s="7">
        <f>E3*2</f>
        <v>12</v>
      </c>
      <c r="N14" s="1"/>
      <c r="O14" s="1"/>
      <c r="P14" s="1"/>
      <c r="Q14" s="1"/>
    </row>
    <row r="15" spans="1:17" x14ac:dyDescent="0.25">
      <c r="A15" s="1"/>
      <c r="B15" s="8" t="s">
        <v>28</v>
      </c>
      <c r="C15" s="8" t="s">
        <v>29</v>
      </c>
      <c r="D15" s="8" t="s">
        <v>30</v>
      </c>
      <c r="E15" s="8" t="s">
        <v>30</v>
      </c>
      <c r="F15" s="8" t="s">
        <v>31</v>
      </c>
      <c r="G15" s="8" t="s">
        <v>31</v>
      </c>
      <c r="H15" s="8" t="s">
        <v>31</v>
      </c>
      <c r="I15" s="8" t="s">
        <v>33</v>
      </c>
      <c r="J15" s="8" t="s">
        <v>33</v>
      </c>
      <c r="K15" s="8" t="s">
        <v>33</v>
      </c>
      <c r="L15" s="8" t="s">
        <v>35</v>
      </c>
      <c r="M15" s="8" t="s">
        <v>35</v>
      </c>
      <c r="N15" s="8" t="s">
        <v>36</v>
      </c>
      <c r="O15" s="8" t="s">
        <v>32</v>
      </c>
      <c r="P15" s="8" t="s">
        <v>34</v>
      </c>
      <c r="Q15" s="1"/>
    </row>
    <row r="16" spans="1:17" x14ac:dyDescent="0.25">
      <c r="A16" s="1"/>
      <c r="B16" s="8" t="s">
        <v>39</v>
      </c>
      <c r="C16" s="8" t="s">
        <v>43</v>
      </c>
      <c r="D16" s="8" t="s">
        <v>44</v>
      </c>
      <c r="E16" s="8" t="s">
        <v>45</v>
      </c>
      <c r="F16" s="8" t="s">
        <v>46</v>
      </c>
      <c r="G16" s="8" t="s">
        <v>47</v>
      </c>
      <c r="H16" s="8" t="s">
        <v>48</v>
      </c>
      <c r="I16" s="8" t="s">
        <v>49</v>
      </c>
      <c r="J16" s="8" t="s">
        <v>50</v>
      </c>
      <c r="K16" s="8" t="s">
        <v>51</v>
      </c>
      <c r="L16" s="8" t="s">
        <v>52</v>
      </c>
      <c r="M16" s="8" t="s">
        <v>53</v>
      </c>
      <c r="N16" s="8" t="s">
        <v>54</v>
      </c>
      <c r="O16" s="8" t="s">
        <v>55</v>
      </c>
      <c r="P16" s="8" t="s">
        <v>56</v>
      </c>
      <c r="Q16" s="1"/>
    </row>
    <row r="17" spans="1:17" x14ac:dyDescent="0.25">
      <c r="A17" s="1"/>
      <c r="B17" s="8" t="s">
        <v>57</v>
      </c>
      <c r="C17" s="8">
        <f xml:space="preserve"> 4 * EI/L_AB</f>
        <v>14400</v>
      </c>
      <c r="D17" s="8">
        <f xml:space="preserve"> 4 * EI/L_AB</f>
        <v>14400</v>
      </c>
      <c r="E17" s="8">
        <f xml:space="preserve"> 4 * EI/L_BC</f>
        <v>18000</v>
      </c>
      <c r="F17" s="8">
        <f xml:space="preserve"> 4 * EI/L_BC</f>
        <v>18000</v>
      </c>
      <c r="G17" s="8">
        <f>3* EI / L_CD</f>
        <v>13500</v>
      </c>
      <c r="H17" s="8">
        <f>4*EI/L_CE</f>
        <v>14400</v>
      </c>
      <c r="I17" s="8">
        <f>4*EI/L_CE</f>
        <v>14400</v>
      </c>
      <c r="J17" s="8">
        <f>3*EI/L_EF</f>
        <v>13500</v>
      </c>
      <c r="K17" s="8">
        <f>4*EI/L_EG</f>
        <v>18000</v>
      </c>
      <c r="L17" s="8">
        <f>4*EI/L_EG</f>
        <v>18000</v>
      </c>
      <c r="M17" s="8">
        <f>4*EI/L_GH</f>
        <v>12727.922061357855</v>
      </c>
      <c r="N17" s="8">
        <f>4*EI/L_GH</f>
        <v>12727.922061357855</v>
      </c>
      <c r="O17" s="8">
        <f>3* EI / L_CD</f>
        <v>13500</v>
      </c>
      <c r="P17" s="8">
        <f>3*EI/L_EF</f>
        <v>13500</v>
      </c>
      <c r="Q17" s="1"/>
    </row>
    <row r="18" spans="1:17" x14ac:dyDescent="0.25">
      <c r="A18" s="1"/>
      <c r="B18" s="8" t="s">
        <v>40</v>
      </c>
      <c r="C18" s="8">
        <v>0</v>
      </c>
      <c r="D18" s="8">
        <f>D17/SUM(D17:E17)</f>
        <v>0.44444444444444442</v>
      </c>
      <c r="E18" s="8">
        <f>E17/SUM(D17:E17)</f>
        <v>0.55555555555555558</v>
      </c>
      <c r="F18" s="8">
        <f>F17/SUM(F17:H17)</f>
        <v>0.39215686274509803</v>
      </c>
      <c r="G18" s="8">
        <f>G17/SUM(F17:H17)</f>
        <v>0.29411764705882354</v>
      </c>
      <c r="H18" s="8">
        <f>H17/SUM(F17:H17)</f>
        <v>0.31372549019607843</v>
      </c>
      <c r="I18" s="8">
        <f>I17/SUM(I17:K17)</f>
        <v>0.31372549019607843</v>
      </c>
      <c r="J18" s="8">
        <f>J17/SUM(I17:K17)</f>
        <v>0.29411764705882354</v>
      </c>
      <c r="K18" s="8">
        <f>K17/SUM(I17:K17)</f>
        <v>0.39215686274509803</v>
      </c>
      <c r="L18" s="8">
        <f>L17/SUM(L17:M17)</f>
        <v>0.58578643762690497</v>
      </c>
      <c r="M18" s="8">
        <f>M17/SUM(L17:M17)</f>
        <v>0.41421356237309503</v>
      </c>
      <c r="N18" s="8">
        <v>0</v>
      </c>
      <c r="O18" s="8">
        <v>1</v>
      </c>
      <c r="P18" s="8">
        <v>1</v>
      </c>
      <c r="Q18" s="1"/>
    </row>
    <row r="19" spans="1:17" x14ac:dyDescent="0.25">
      <c r="A19" s="1"/>
      <c r="B19" s="8" t="s">
        <v>38</v>
      </c>
      <c r="C19" s="8">
        <v>0</v>
      </c>
      <c r="D19" s="8">
        <v>0</v>
      </c>
      <c r="E19" s="8">
        <f>-F3*L_BC*L_BC/12</f>
        <v>-16</v>
      </c>
      <c r="F19" s="8">
        <f>F3*L_BC*L_BC/12</f>
        <v>16</v>
      </c>
      <c r="G19" s="8">
        <v>0</v>
      </c>
      <c r="H19" s="8">
        <f>-F3*L_CE*L_CE/12</f>
        <v>-25</v>
      </c>
      <c r="I19" s="8">
        <f>F3*L_CE*L_CE/12</f>
        <v>25</v>
      </c>
      <c r="J19" s="8">
        <v>0</v>
      </c>
      <c r="K19" s="8">
        <f>-F3*L_EG*L_EG/12</f>
        <v>-16</v>
      </c>
      <c r="L19" s="8">
        <f>F3*L_EG*L_EG/12</f>
        <v>16</v>
      </c>
      <c r="M19" s="8">
        <f>-LW*H1_*H1_/12</f>
        <v>-10.666666666666666</v>
      </c>
      <c r="N19" s="8">
        <f>LW*H1_*H1_/12</f>
        <v>10.666666666666666</v>
      </c>
      <c r="O19" s="8">
        <v>0</v>
      </c>
      <c r="P19" s="8">
        <v>0</v>
      </c>
      <c r="Q19" s="1"/>
    </row>
    <row r="20" spans="1:17" x14ac:dyDescent="0.25">
      <c r="A20" s="1"/>
      <c r="B20" s="8" t="s">
        <v>41</v>
      </c>
      <c r="C20" s="8"/>
      <c r="D20" s="8">
        <f>-SUM(D19:E19)*D18</f>
        <v>7.1111111111111107</v>
      </c>
      <c r="E20" s="8">
        <f>-SUM(D19:E19)*E18</f>
        <v>8.8888888888888893</v>
      </c>
      <c r="F20" s="8">
        <f>-SUM(F19:H19)*F18</f>
        <v>3.5294117647058822</v>
      </c>
      <c r="G20" s="8">
        <f>-SUM(F19:H19)*G18</f>
        <v>2.6470588235294117</v>
      </c>
      <c r="H20" s="8">
        <f>-SUM(F19:H19)*H18</f>
        <v>2.8235294117647056</v>
      </c>
      <c r="I20" s="8">
        <f>-SUM(I19:K19)*I18</f>
        <v>-2.8235294117647056</v>
      </c>
      <c r="J20" s="8">
        <f>-SUM(I19:K19)*J18</f>
        <v>-2.6470588235294117</v>
      </c>
      <c r="K20" s="8">
        <f>-SUM(I19:K19)*K18</f>
        <v>-3.5294117647058822</v>
      </c>
      <c r="L20" s="8">
        <f>-(L19+M19-M14)*L18</f>
        <v>3.9052429175126995</v>
      </c>
      <c r="M20" s="8">
        <f>-(L19+M19-M14)*M18</f>
        <v>2.7614237491539666</v>
      </c>
      <c r="N20" s="8"/>
      <c r="O20" s="8"/>
      <c r="P20" s="8"/>
      <c r="Q20" s="1"/>
    </row>
    <row r="21" spans="1:17" x14ac:dyDescent="0.25">
      <c r="A21" s="1"/>
      <c r="B21" s="8" t="s">
        <v>42</v>
      </c>
      <c r="C21" s="8">
        <f>D20/2</f>
        <v>3.5555555555555554</v>
      </c>
      <c r="D21" s="8"/>
      <c r="E21" s="8">
        <f>F20/2</f>
        <v>1.7647058823529411</v>
      </c>
      <c r="F21" s="8">
        <f>E20/2</f>
        <v>4.4444444444444446</v>
      </c>
      <c r="G21" s="8"/>
      <c r="H21" s="8">
        <f>I20/2</f>
        <v>-1.4117647058823528</v>
      </c>
      <c r="I21" s="8">
        <f>H20/2</f>
        <v>1.4117647058823528</v>
      </c>
      <c r="J21" s="8"/>
      <c r="K21" s="8">
        <f>L20/2</f>
        <v>1.9526214587563497</v>
      </c>
      <c r="L21" s="8">
        <f>K20/2</f>
        <v>-1.7647058823529411</v>
      </c>
      <c r="M21" s="8"/>
      <c r="N21" s="8">
        <f>M20/2</f>
        <v>1.3807118745769833</v>
      </c>
      <c r="O21" s="8"/>
      <c r="P21" s="8"/>
      <c r="Q21" s="1"/>
    </row>
    <row r="22" spans="1:17" x14ac:dyDescent="0.25">
      <c r="A22" s="1"/>
      <c r="B22" s="8" t="s">
        <v>41</v>
      </c>
      <c r="C22" s="8"/>
      <c r="D22" s="8">
        <f>-SUM(D21:E21)*D18</f>
        <v>-0.78431372549019596</v>
      </c>
      <c r="E22" s="8">
        <f>-SUM(D21:E21)*E18</f>
        <v>-0.98039215686274517</v>
      </c>
      <c r="F22" s="8">
        <f>-SUM(F21:H21)*F18</f>
        <v>-1.189286171985134</v>
      </c>
      <c r="G22" s="8">
        <f>-SUM(F21:H21)*G18</f>
        <v>-0.89196462898885054</v>
      </c>
      <c r="H22" s="8">
        <f>-SUM(F21:H21)*H18</f>
        <v>-0.9514289375881072</v>
      </c>
      <c r="I22" s="8">
        <f>-SUM(I21:K21)*I18</f>
        <v>-1.0554936987101811</v>
      </c>
      <c r="J22" s="8">
        <f>-SUM(I21:K21)*J18</f>
        <v>-0.98952534254079483</v>
      </c>
      <c r="K22" s="8">
        <f>-SUM(I21:K21)*K18</f>
        <v>-1.3193671233877264</v>
      </c>
      <c r="L22" s="8">
        <f>-(L21+M21)*L18</f>
        <v>1.0337407722827734</v>
      </c>
      <c r="M22" s="8">
        <f>-(L21+M21)*M18</f>
        <v>0.73096511007016773</v>
      </c>
      <c r="N22" s="8"/>
      <c r="O22" s="8"/>
      <c r="P22" s="8"/>
      <c r="Q22" s="1"/>
    </row>
    <row r="23" spans="1:17" x14ac:dyDescent="0.25">
      <c r="A23" s="1"/>
      <c r="B23" s="8" t="s">
        <v>42</v>
      </c>
      <c r="C23" s="8">
        <f>D22/2</f>
        <v>-0.39215686274509798</v>
      </c>
      <c r="D23" s="8"/>
      <c r="E23" s="8">
        <f>F22/2</f>
        <v>-0.59464308599256699</v>
      </c>
      <c r="F23" s="8">
        <f>E22/2</f>
        <v>-0.49019607843137258</v>
      </c>
      <c r="G23" s="8"/>
      <c r="H23" s="8">
        <f>I22/2</f>
        <v>-0.52774684935509053</v>
      </c>
      <c r="I23" s="8">
        <f>H22/2</f>
        <v>-0.4757144687940536</v>
      </c>
      <c r="J23" s="8"/>
      <c r="K23" s="8">
        <f>L22/2</f>
        <v>0.5168703861413867</v>
      </c>
      <c r="L23" s="8">
        <f>K22/2</f>
        <v>-0.65968356169386322</v>
      </c>
      <c r="M23" s="8"/>
      <c r="N23" s="8">
        <f>M22/2</f>
        <v>0.36548255503508387</v>
      </c>
      <c r="O23" s="8"/>
      <c r="P23" s="8"/>
      <c r="Q23" s="1"/>
    </row>
    <row r="24" spans="1:17" x14ac:dyDescent="0.25">
      <c r="A24" s="1"/>
      <c r="B24" s="8" t="s">
        <v>41</v>
      </c>
      <c r="C24" s="8"/>
      <c r="D24" s="8">
        <f>-SUM(D23:E23)*D18</f>
        <v>0.26428581599669643</v>
      </c>
      <c r="E24" s="8">
        <f>-SUM(D23:E23)*E18</f>
        <v>0.33035726999587056</v>
      </c>
      <c r="F24" s="8">
        <f>-SUM(F23:H23)*F18</f>
        <v>0.39919330501429928</v>
      </c>
      <c r="G24" s="8">
        <f>-SUM(F23:H23)*G18</f>
        <v>0.29939497876072446</v>
      </c>
      <c r="H24" s="8">
        <f>-SUM(F23:H23)*H18</f>
        <v>0.31935464401143943</v>
      </c>
      <c r="I24" s="8">
        <f>-SUM(I23:K23)*I18</f>
        <v>-1.2911660344261363E-2</v>
      </c>
      <c r="J24" s="8">
        <f>-SUM(I23:K23)*J18</f>
        <v>-1.2104681572745028E-2</v>
      </c>
      <c r="K24" s="8">
        <f>-SUM(I23:K23)*K18</f>
        <v>-1.6139575430326705E-2</v>
      </c>
      <c r="L24" s="8">
        <f>-(L23+M23)*L18</f>
        <v>0.3864336835656767</v>
      </c>
      <c r="M24" s="8">
        <f>-(L23+M23)*M18</f>
        <v>0.27324987812818652</v>
      </c>
      <c r="N24" s="8"/>
      <c r="O24" s="8"/>
      <c r="P24" s="8"/>
      <c r="Q24" s="1"/>
    </row>
    <row r="25" spans="1:17" x14ac:dyDescent="0.25">
      <c r="A25" s="1"/>
      <c r="B25" s="8" t="s">
        <v>42</v>
      </c>
      <c r="C25" s="8">
        <f t="shared" ref="C25" si="0">D24/2</f>
        <v>0.13214290799834821</v>
      </c>
      <c r="D25" s="8"/>
      <c r="E25" s="8">
        <f t="shared" ref="E25" si="1">F24/2</f>
        <v>0.19959665250714964</v>
      </c>
      <c r="F25" s="8">
        <f t="shared" ref="F25" si="2">E24/2</f>
        <v>0.16517863499793528</v>
      </c>
      <c r="G25" s="8"/>
      <c r="H25" s="8">
        <f t="shared" ref="H25" si="3">I24/2</f>
        <v>-6.4558301721306813E-3</v>
      </c>
      <c r="I25" s="8">
        <f t="shared" ref="I25" si="4">H24/2</f>
        <v>0.15967732200571971</v>
      </c>
      <c r="J25" s="8"/>
      <c r="K25" s="8">
        <f t="shared" ref="K25" si="5">L24/2</f>
        <v>0.19321684178283835</v>
      </c>
      <c r="L25" s="8">
        <f t="shared" ref="L25" si="6">K24/2</f>
        <v>-8.0697877151633523E-3</v>
      </c>
      <c r="M25" s="8"/>
      <c r="N25" s="8">
        <f t="shared" ref="N25" si="7">M24/2</f>
        <v>0.13662493906409326</v>
      </c>
      <c r="O25" s="8"/>
      <c r="P25" s="8"/>
      <c r="Q25" s="1"/>
    </row>
    <row r="26" spans="1:17" x14ac:dyDescent="0.25">
      <c r="A26" s="1"/>
      <c r="B26" s="8" t="s">
        <v>41</v>
      </c>
      <c r="C26" s="8"/>
      <c r="D26" s="8">
        <f>-SUM(D25:E25)*D18</f>
        <v>-8.8709623336510945E-2</v>
      </c>
      <c r="E26" s="8">
        <f>-SUM(D25:E25)*E18</f>
        <v>-0.1108870291706387</v>
      </c>
      <c r="F26" s="8">
        <f>-SUM(F25:H25)*F18</f>
        <v>-6.2244237186590036E-2</v>
      </c>
      <c r="G26" s="8">
        <f>-SUM(F25:H25)*G18</f>
        <v>-4.6683177889942529E-2</v>
      </c>
      <c r="H26" s="8">
        <f>-SUM(F25:H25)*H18</f>
        <v>-4.9795389749272029E-2</v>
      </c>
      <c r="I26" s="8">
        <f>-SUM(I25:K25)*I18</f>
        <v>-0.11071189452190057</v>
      </c>
      <c r="J26" s="8">
        <f>-SUM(I25:K25)*J18</f>
        <v>-0.1037924011142818</v>
      </c>
      <c r="K26" s="8">
        <f>-SUM(I25:K25)*K18</f>
        <v>-0.13838986815237572</v>
      </c>
      <c r="L26" s="8">
        <f>-(L25+M25)*L18</f>
        <v>4.7271721980709008E-3</v>
      </c>
      <c r="M26" s="8">
        <f>-(L25+M25)*M18</f>
        <v>3.3426155170924515E-3</v>
      </c>
      <c r="N26" s="8"/>
      <c r="O26" s="8"/>
      <c r="P26" s="8"/>
      <c r="Q26" s="1"/>
    </row>
    <row r="27" spans="1:17" x14ac:dyDescent="0.25">
      <c r="A27" s="1"/>
      <c r="B27" s="8" t="s">
        <v>42</v>
      </c>
      <c r="C27" s="8">
        <f t="shared" ref="C27" si="8">D26/2</f>
        <v>-4.4354811668255473E-2</v>
      </c>
      <c r="D27" s="8"/>
      <c r="E27" s="8">
        <f t="shared" ref="E27" si="9">F26/2</f>
        <v>-3.1122118593295018E-2</v>
      </c>
      <c r="F27" s="8">
        <f t="shared" ref="F27" si="10">E26/2</f>
        <v>-5.5443514585319348E-2</v>
      </c>
      <c r="G27" s="8"/>
      <c r="H27" s="8">
        <f t="shared" ref="H27" si="11">I26/2</f>
        <v>-5.5355947260950285E-2</v>
      </c>
      <c r="I27" s="8">
        <f t="shared" ref="I27" si="12">H26/2</f>
        <v>-2.4897694874636014E-2</v>
      </c>
      <c r="J27" s="8"/>
      <c r="K27" s="8">
        <f t="shared" ref="K27" si="13">L26/2</f>
        <v>2.3635860990354504E-3</v>
      </c>
      <c r="L27" s="8">
        <f t="shared" ref="L27" si="14">K26/2</f>
        <v>-6.9194934076187861E-2</v>
      </c>
      <c r="M27" s="8"/>
      <c r="N27" s="8">
        <f t="shared" ref="N27" si="15">M26/2</f>
        <v>1.6713077585462257E-3</v>
      </c>
      <c r="O27" s="8"/>
      <c r="P27" s="8"/>
      <c r="Q27" s="1"/>
    </row>
    <row r="28" spans="1:17" x14ac:dyDescent="0.25">
      <c r="A28" s="1"/>
      <c r="B28" s="8" t="s">
        <v>41</v>
      </c>
      <c r="C28" s="8"/>
      <c r="D28" s="8">
        <f>-SUM(D27:E27)*D18</f>
        <v>1.3832052708131119E-2</v>
      </c>
      <c r="E28" s="8">
        <f>-SUM(D27:E27)*E18</f>
        <v>1.7290065885163901E-2</v>
      </c>
      <c r="F28" s="8">
        <f>-SUM(F27:H27)*F18</f>
        <v>4.3450769351478284E-2</v>
      </c>
      <c r="G28" s="8">
        <f>-SUM(F27:H27)*G18</f>
        <v>3.2588077013608711E-2</v>
      </c>
      <c r="H28" s="8">
        <f>-SUM(F27:H27)*H18</f>
        <v>3.476061548118263E-2</v>
      </c>
      <c r="I28" s="8">
        <f>-SUM(I27:K27)*I18</f>
        <v>7.0695243217570392E-3</v>
      </c>
      <c r="J28" s="8">
        <f>-SUM(I27:K27)*J18</f>
        <v>6.6276790516472247E-3</v>
      </c>
      <c r="K28" s="8">
        <f>-SUM(I27:K27)*K18</f>
        <v>8.8369054021962996E-3</v>
      </c>
      <c r="L28" s="8">
        <f>-(L27+M27)*L18</f>
        <v>4.053345393431862E-2</v>
      </c>
      <c r="M28" s="8">
        <f>-(L27+M27)*M18</f>
        <v>2.8661480141869238E-2</v>
      </c>
      <c r="N28" s="8"/>
      <c r="O28" s="8"/>
      <c r="P28" s="8"/>
      <c r="Q28" s="1"/>
    </row>
    <row r="29" spans="1:17" x14ac:dyDescent="0.25">
      <c r="A29" s="1"/>
      <c r="B29" s="8" t="s">
        <v>42</v>
      </c>
      <c r="C29" s="8">
        <f t="shared" ref="C29" si="16">D28/2</f>
        <v>6.9160263540655595E-3</v>
      </c>
      <c r="D29" s="8"/>
      <c r="E29" s="8">
        <f t="shared" ref="E29" si="17">F28/2</f>
        <v>2.1725384675739142E-2</v>
      </c>
      <c r="F29" s="8">
        <f t="shared" ref="F29" si="18">E28/2</f>
        <v>8.6450329425819504E-3</v>
      </c>
      <c r="G29" s="8"/>
      <c r="H29" s="8">
        <f t="shared" ref="H29" si="19">I28/2</f>
        <v>3.5347621608785196E-3</v>
      </c>
      <c r="I29" s="8">
        <f t="shared" ref="I29" si="20">H28/2</f>
        <v>1.7380307740591315E-2</v>
      </c>
      <c r="J29" s="8"/>
      <c r="K29" s="8">
        <f t="shared" ref="K29" si="21">L28/2</f>
        <v>2.026672696715931E-2</v>
      </c>
      <c r="L29" s="8">
        <f t="shared" ref="L29" si="22">K28/2</f>
        <v>4.4184527010981498E-3</v>
      </c>
      <c r="M29" s="8"/>
      <c r="N29" s="8">
        <f t="shared" ref="N29" si="23">M28/2</f>
        <v>1.4330740070934619E-2</v>
      </c>
      <c r="O29" s="8"/>
      <c r="P29" s="8"/>
      <c r="Q29" s="1"/>
    </row>
    <row r="30" spans="1:17" x14ac:dyDescent="0.25">
      <c r="A30" s="1"/>
      <c r="B30" s="8" t="s">
        <v>41</v>
      </c>
      <c r="C30" s="8"/>
      <c r="D30" s="8">
        <f>-SUM(D29:E29)*D18</f>
        <v>-9.65572652255073E-3</v>
      </c>
      <c r="E30" s="8">
        <f>-SUM(D29:E29)*E18</f>
        <v>-1.2069658153188412E-2</v>
      </c>
      <c r="F30" s="8">
        <f>-SUM(F29:H29)*F18</f>
        <v>-4.7763902366511641E-3</v>
      </c>
      <c r="G30" s="8">
        <f>-SUM(F29:H29)*G18</f>
        <v>-3.5822926774883735E-3</v>
      </c>
      <c r="H30" s="8">
        <f>-SUM(F29:H29)*H18</f>
        <v>-3.8211121893209315E-3</v>
      </c>
      <c r="I30" s="8">
        <f>-SUM(I29:K29)*I18</f>
        <v>-1.1810834418117843E-2</v>
      </c>
      <c r="J30" s="8">
        <f>-SUM(I29:K29)*J18</f>
        <v>-1.1072657266985479E-2</v>
      </c>
      <c r="K30" s="8">
        <f>-SUM(I29:K29)*K18</f>
        <v>-1.4763543022647303E-2</v>
      </c>
      <c r="L30" s="8">
        <f>-(L29+M29)*L18</f>
        <v>-2.5882696675992613E-3</v>
      </c>
      <c r="M30" s="8">
        <f>-(L29+M29)*M18</f>
        <v>-1.8301830334988888E-3</v>
      </c>
      <c r="N30" s="8"/>
      <c r="O30" s="8"/>
      <c r="P30" s="8"/>
      <c r="Q30" s="1"/>
    </row>
    <row r="31" spans="1:17" x14ac:dyDescent="0.25">
      <c r="A31" s="1"/>
      <c r="B31" s="8" t="s">
        <v>42</v>
      </c>
      <c r="C31" s="8">
        <f t="shared" ref="C31" si="24">D30/2</f>
        <v>-4.827863261275365E-3</v>
      </c>
      <c r="D31" s="8"/>
      <c r="E31" s="8">
        <f t="shared" ref="E31" si="25">F30/2</f>
        <v>-2.388195118325582E-3</v>
      </c>
      <c r="F31" s="8">
        <f t="shared" ref="F31" si="26">E30/2</f>
        <v>-6.034829076594206E-3</v>
      </c>
      <c r="G31" s="8"/>
      <c r="H31" s="8">
        <f t="shared" ref="H31" si="27">I30/2</f>
        <v>-5.9054172090589217E-3</v>
      </c>
      <c r="I31" s="8">
        <f t="shared" ref="I31" si="28">H30/2</f>
        <v>-1.9105560946604658E-3</v>
      </c>
      <c r="J31" s="8"/>
      <c r="K31" s="8">
        <f t="shared" ref="K31" si="29">L30/2</f>
        <v>-1.2941348337996306E-3</v>
      </c>
      <c r="L31" s="8">
        <f t="shared" ref="L31" si="30">K30/2</f>
        <v>-7.3817715113236515E-3</v>
      </c>
      <c r="M31" s="8"/>
      <c r="N31" s="8">
        <f t="shared" ref="N31" si="31">M30/2</f>
        <v>-9.1509151674944438E-4</v>
      </c>
      <c r="O31" s="8"/>
      <c r="P31" s="8"/>
      <c r="Q31" s="1"/>
    </row>
    <row r="32" spans="1:17" x14ac:dyDescent="0.25">
      <c r="A32" s="1"/>
      <c r="B32" s="8" t="s">
        <v>41</v>
      </c>
      <c r="C32" s="8"/>
      <c r="D32" s="8">
        <f>-SUM(D31:E31)*D18</f>
        <v>1.0614200525891474E-3</v>
      </c>
      <c r="E32" s="8">
        <f>-SUM(D31:E31)*E18</f>
        <v>1.3267750657364346E-3</v>
      </c>
      <c r="F32" s="8">
        <f>-SUM(F31:H31)*F18</f>
        <v>4.6824495237855401E-3</v>
      </c>
      <c r="G32" s="8">
        <f>-SUM(F31:H31)*G18</f>
        <v>3.5118371428391553E-3</v>
      </c>
      <c r="H32" s="8">
        <f>-SUM(F31:H31)*H18</f>
        <v>3.7459596190284323E-3</v>
      </c>
      <c r="I32" s="8">
        <f>-SUM(I31:K31)*I18</f>
        <v>1.0053932324580695E-3</v>
      </c>
      <c r="J32" s="8">
        <f>-SUM(I31:K31)*J18</f>
        <v>9.4255615542944025E-4</v>
      </c>
      <c r="K32" s="8">
        <f>-SUM(I31:K31)*K18</f>
        <v>1.2567415405725869E-3</v>
      </c>
      <c r="L32" s="8">
        <f>-(L31+M31)*L18</f>
        <v>4.3241416369940566E-3</v>
      </c>
      <c r="M32" s="8">
        <f>-(L31+M31)*M18</f>
        <v>3.0576298743295953E-3</v>
      </c>
      <c r="N32" s="8"/>
      <c r="O32" s="8"/>
      <c r="P32" s="8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5" t="s">
        <v>39</v>
      </c>
      <c r="C34" s="5" t="s">
        <v>43</v>
      </c>
      <c r="D34" s="5" t="s">
        <v>44</v>
      </c>
      <c r="E34" s="5" t="s">
        <v>45</v>
      </c>
      <c r="F34" s="5" t="s">
        <v>46</v>
      </c>
      <c r="G34" s="5" t="s">
        <v>47</v>
      </c>
      <c r="H34" s="5" t="s">
        <v>48</v>
      </c>
      <c r="I34" s="5" t="s">
        <v>49</v>
      </c>
      <c r="J34" s="5" t="s">
        <v>50</v>
      </c>
      <c r="K34" s="5" t="s">
        <v>51</v>
      </c>
      <c r="L34" s="5" t="s">
        <v>52</v>
      </c>
      <c r="M34" s="5" t="s">
        <v>53</v>
      </c>
      <c r="N34" s="5" t="s">
        <v>54</v>
      </c>
      <c r="O34" s="5" t="s">
        <v>55</v>
      </c>
      <c r="P34" s="5" t="s">
        <v>56</v>
      </c>
      <c r="Q34" s="1"/>
    </row>
    <row r="35" spans="1:17" x14ac:dyDescent="0.25">
      <c r="A35" s="1"/>
      <c r="B35" s="5" t="s">
        <v>90</v>
      </c>
      <c r="C35" s="5">
        <f>SUM(C19:C32)</f>
        <v>3.25327495223334</v>
      </c>
      <c r="D35" s="5">
        <f t="shared" ref="D35:N35" si="32">SUM(D19:D32)</f>
        <v>6.507611324519269</v>
      </c>
      <c r="E35" s="5">
        <f t="shared" si="32"/>
        <v>-6.5076113245192699</v>
      </c>
      <c r="F35" s="5">
        <f t="shared" si="32"/>
        <v>22.787025179478746</v>
      </c>
      <c r="G35" s="5">
        <f t="shared" si="32"/>
        <v>2.0403236168903027</v>
      </c>
      <c r="H35" s="5">
        <f t="shared" si="32"/>
        <v>-24.827348796369044</v>
      </c>
      <c r="I35" s="5">
        <f t="shared" si="32"/>
        <v>22.079917033660362</v>
      </c>
      <c r="J35" s="5">
        <f t="shared" si="32"/>
        <v>-3.7559836708171424</v>
      </c>
      <c r="K35" s="5">
        <f t="shared" si="32"/>
        <v>-18.323933362843217</v>
      </c>
      <c r="L35" s="5">
        <f t="shared" si="32"/>
        <v>18.86779638681455</v>
      </c>
      <c r="M35" s="5">
        <f t="shared" si="32"/>
        <v>-6.8677963868145531</v>
      </c>
      <c r="N35" s="5">
        <f t="shared" si="32"/>
        <v>12.56457299165556</v>
      </c>
      <c r="O35" s="5">
        <v>0</v>
      </c>
      <c r="P35" s="5">
        <v>0</v>
      </c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 t="s">
        <v>91</v>
      </c>
      <c r="C37" s="5"/>
      <c r="D37" s="5"/>
      <c r="E37" s="5">
        <f>(-SUM(E35:F35)/L_BC)+(F3*L_BC/2)</f>
        <v>19.930146536260132</v>
      </c>
      <c r="F37" s="5">
        <f>(-SUM(E35:F35)/L_BC)-(F3*L_BC/2)</f>
        <v>-28.069853463739868</v>
      </c>
      <c r="G37" s="5">
        <f>-G35/L_CD</f>
        <v>-0.51008090422257568</v>
      </c>
      <c r="H37" s="5">
        <f>-(SUM(H35:I35)/L_CE)+(F3*L_CE/2)</f>
        <v>30.549486352541738</v>
      </c>
      <c r="I37" s="5">
        <f>-(SUM(H35:I35)/L_CE)-(F3*L_CE/2)</f>
        <v>-29.450513647458262</v>
      </c>
      <c r="J37" s="5">
        <f>-J35/L_EF</f>
        <v>0.93899591770428559</v>
      </c>
      <c r="K37" s="5">
        <f>-(SUM(K35:L35)/L_EG)+(F3*L_EG/2)</f>
        <v>23.864034244007165</v>
      </c>
      <c r="L37" s="5">
        <f>-(SUM(K35:L35)/L_EG)-(F3*L_EG/2)</f>
        <v>-24.135965755992835</v>
      </c>
      <c r="M37" s="5"/>
      <c r="N37" s="5"/>
      <c r="O37" s="5"/>
      <c r="P37" s="5"/>
      <c r="Q37" s="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 t="s">
        <v>65</v>
      </c>
      <c r="C39" s="1" t="s">
        <v>60</v>
      </c>
      <c r="D39" s="1"/>
      <c r="E39" s="1"/>
      <c r="F39" s="1"/>
      <c r="G39" s="1" t="s">
        <v>63</v>
      </c>
      <c r="H39" s="1"/>
      <c r="I39" s="1"/>
      <c r="J39" s="1" t="s">
        <v>64</v>
      </c>
      <c r="K39" s="1"/>
      <c r="L39" s="1"/>
      <c r="M39" s="1" t="s">
        <v>62</v>
      </c>
      <c r="N39" s="1" t="s">
        <v>61</v>
      </c>
      <c r="O39" s="1"/>
      <c r="P39" s="1"/>
      <c r="Q39" s="1"/>
    </row>
    <row r="40" spans="1:17" x14ac:dyDescent="0.25">
      <c r="A40" s="1"/>
      <c r="B40" s="1">
        <f>D3*H1_</f>
        <v>32</v>
      </c>
      <c r="C40" s="1">
        <f>-(SUM(C35:D35)+E37*S1_)/H1_</f>
        <v>-17.387831471383251</v>
      </c>
      <c r="D40" s="1"/>
      <c r="E40" s="1"/>
      <c r="F40" s="1"/>
      <c r="G40" s="1">
        <f>G37</f>
        <v>-0.51008090422257568</v>
      </c>
      <c r="H40" s="1"/>
      <c r="I40" s="1"/>
      <c r="J40" s="1">
        <f>J37</f>
        <v>0.93899591770428559</v>
      </c>
      <c r="K40" s="1"/>
      <c r="L40" s="1"/>
      <c r="M40" s="1">
        <f>L37-(2*E3)</f>
        <v>-36.135965755992835</v>
      </c>
      <c r="N40" s="1">
        <f>-(SUM(M35:N35)+(M40*S3_)+(LW*H1_*H1_*0.5))/H1_</f>
        <v>18.711771604782584</v>
      </c>
      <c r="O40" s="1"/>
      <c r="P40" s="1"/>
      <c r="Q40" s="1"/>
    </row>
    <row r="41" spans="1:17" x14ac:dyDescent="0.25">
      <c r="A41" s="1"/>
      <c r="B41" s="1" t="s">
        <v>7</v>
      </c>
      <c r="C41" s="1" t="s">
        <v>7</v>
      </c>
      <c r="D41" s="1"/>
      <c r="E41" s="1"/>
      <c r="F41" s="1"/>
      <c r="G41" s="1" t="s">
        <v>7</v>
      </c>
      <c r="H41" s="1"/>
      <c r="I41" s="1"/>
      <c r="J41" s="1" t="s">
        <v>7</v>
      </c>
      <c r="K41" s="1"/>
      <c r="L41" s="1"/>
      <c r="M41" s="1" t="s">
        <v>7</v>
      </c>
      <c r="N41" s="1" t="s">
        <v>7</v>
      </c>
      <c r="O41" s="1"/>
      <c r="P41" s="1"/>
      <c r="Q41" s="1"/>
    </row>
    <row r="42" spans="1:17" x14ac:dyDescent="0.25">
      <c r="A42" s="1"/>
      <c r="B42" s="1" t="s">
        <v>124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5" t="s">
        <v>77</v>
      </c>
      <c r="B44" s="5">
        <f>SUM(N40,J40,G40,B40:C40)</f>
        <v>33.752855146881046</v>
      </c>
      <c r="C44" s="5" t="s">
        <v>7</v>
      </c>
      <c r="D44" s="3" t="s">
        <v>67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8" t="s">
        <v>126</v>
      </c>
      <c r="C51" s="8"/>
      <c r="D51" s="8" t="s">
        <v>0</v>
      </c>
      <c r="E51" s="8" t="s">
        <v>19</v>
      </c>
      <c r="F51" s="8" t="s">
        <v>18</v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8"/>
      <c r="C52" s="8"/>
      <c r="D52" s="8">
        <f>LW</f>
        <v>8</v>
      </c>
      <c r="E52" s="8">
        <f>1.2*W1_</f>
        <v>6</v>
      </c>
      <c r="F52" s="8">
        <f>1.2*W2_</f>
        <v>12</v>
      </c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8"/>
      <c r="C53" s="8"/>
      <c r="D53" s="8" t="s">
        <v>17</v>
      </c>
      <c r="E53" s="8" t="s">
        <v>17</v>
      </c>
      <c r="F53" s="8" t="s">
        <v>17</v>
      </c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8" t="s">
        <v>182</v>
      </c>
      <c r="D56" s="8" t="s">
        <v>183</v>
      </c>
      <c r="E56" s="8" t="s">
        <v>184</v>
      </c>
      <c r="F56" s="8" t="s">
        <v>185</v>
      </c>
      <c r="G56" s="8" t="s">
        <v>186</v>
      </c>
      <c r="H56" s="8" t="s">
        <v>187</v>
      </c>
      <c r="I56" s="8" t="s">
        <v>188</v>
      </c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8">
        <f>SQRT((S1_*S1_)+(H1_*H1_))</f>
        <v>5</v>
      </c>
      <c r="D57" s="8">
        <v>4</v>
      </c>
      <c r="E57" s="8">
        <f xml:space="preserve"> H1_</f>
        <v>4</v>
      </c>
      <c r="F57" s="8">
        <f xml:space="preserve"> S2_</f>
        <v>5</v>
      </c>
      <c r="G57" s="8">
        <f xml:space="preserve"> H1_</f>
        <v>4</v>
      </c>
      <c r="H57" s="8">
        <v>4</v>
      </c>
      <c r="I57" s="8">
        <f>SQRT((S3_*S3_)+(H1_*H1_))</f>
        <v>5.6568542494923806</v>
      </c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8" t="s">
        <v>13</v>
      </c>
      <c r="D58" s="8" t="s">
        <v>13</v>
      </c>
      <c r="E58" s="8" t="s">
        <v>13</v>
      </c>
      <c r="F58" s="8" t="s">
        <v>13</v>
      </c>
      <c r="G58" s="8" t="s">
        <v>13</v>
      </c>
      <c r="H58" s="8" t="s">
        <v>13</v>
      </c>
      <c r="I58" s="8" t="s">
        <v>13</v>
      </c>
      <c r="J58" s="1"/>
      <c r="K58" s="1"/>
      <c r="L58" s="1"/>
      <c r="M58" s="1"/>
      <c r="N58" s="1"/>
      <c r="O58" s="1"/>
      <c r="P58" s="1"/>
    </row>
    <row r="59" spans="1:16" ht="15.75" thickBo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6.5" thickTop="1" thickBot="1" x14ac:dyDescent="0.3">
      <c r="A60" s="4" t="s">
        <v>66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.75" thickTop="1" x14ac:dyDescent="0.25">
      <c r="B61" s="8" t="s">
        <v>39</v>
      </c>
      <c r="C61" s="8" t="s">
        <v>43</v>
      </c>
      <c r="D61" s="8" t="s">
        <v>44</v>
      </c>
      <c r="E61" s="8" t="s">
        <v>45</v>
      </c>
      <c r="F61" s="8" t="s">
        <v>46</v>
      </c>
      <c r="G61" s="8" t="s">
        <v>47</v>
      </c>
      <c r="H61" s="8" t="s">
        <v>48</v>
      </c>
      <c r="I61" s="8" t="s">
        <v>49</v>
      </c>
      <c r="J61" s="8" t="s">
        <v>50</v>
      </c>
      <c r="K61" s="8" t="s">
        <v>51</v>
      </c>
      <c r="L61" s="8" t="s">
        <v>52</v>
      </c>
      <c r="M61" s="8" t="s">
        <v>53</v>
      </c>
      <c r="N61" s="8" t="s">
        <v>54</v>
      </c>
      <c r="O61" s="8" t="s">
        <v>55</v>
      </c>
      <c r="P61" s="8" t="s">
        <v>56</v>
      </c>
    </row>
    <row r="62" spans="1:16" x14ac:dyDescent="0.25">
      <c r="B62" s="9" t="s">
        <v>68</v>
      </c>
      <c r="C62" s="8">
        <f>C57/H1_</f>
        <v>1.25</v>
      </c>
      <c r="D62" s="8">
        <f>C57/H1_</f>
        <v>1.25</v>
      </c>
      <c r="E62" s="9">
        <f>S1_/H1_</f>
        <v>0.75</v>
      </c>
      <c r="F62" s="9">
        <f>S1_/H1_</f>
        <v>0.75</v>
      </c>
      <c r="G62" s="9">
        <v>1</v>
      </c>
      <c r="H62" s="9">
        <v>0</v>
      </c>
      <c r="I62" s="9">
        <v>0</v>
      </c>
      <c r="J62" s="9">
        <v>1</v>
      </c>
      <c r="K62" s="9">
        <f>S3_/H1_</f>
        <v>1</v>
      </c>
      <c r="L62" s="9">
        <f>S3_/H1_</f>
        <v>1</v>
      </c>
      <c r="M62" s="9">
        <f>I57/H1_</f>
        <v>1.4142135623730951</v>
      </c>
      <c r="N62" s="9">
        <f>I57/H1_</f>
        <v>1.4142135623730951</v>
      </c>
      <c r="O62" s="9">
        <v>1</v>
      </c>
      <c r="P62" s="9">
        <v>1</v>
      </c>
    </row>
    <row r="63" spans="1:16" x14ac:dyDescent="0.25">
      <c r="B63" s="9" t="s">
        <v>190</v>
      </c>
      <c r="C63" s="9">
        <f>6*EI/H1_/C57</f>
        <v>5400</v>
      </c>
      <c r="D63" s="9">
        <f>6*EI/H1_/C57</f>
        <v>5400</v>
      </c>
      <c r="E63" s="9">
        <f>-6*EI*E62/D57/D57</f>
        <v>-5062.5</v>
      </c>
      <c r="F63" s="9">
        <f>-6*EI*F62/D57/D57</f>
        <v>-5062.5</v>
      </c>
      <c r="G63" s="9">
        <f>3*EI*G62/E57/E57</f>
        <v>3375</v>
      </c>
      <c r="H63" s="9">
        <v>0</v>
      </c>
      <c r="I63" s="9">
        <v>0</v>
      </c>
      <c r="J63" s="9">
        <f>3*EI*J62/G57/G57</f>
        <v>3375</v>
      </c>
      <c r="K63" s="9">
        <f>-6*EI*K62/H57/H57</f>
        <v>-6750</v>
      </c>
      <c r="L63" s="9">
        <f>-6*EI*L62/H57/H57</f>
        <v>-6750</v>
      </c>
      <c r="M63" s="9">
        <f>6*EI*M62/I57/I57</f>
        <v>4772.9707730091959</v>
      </c>
      <c r="N63" s="9">
        <f>6*EI*N62/I57/I57</f>
        <v>4772.9707730091959</v>
      </c>
      <c r="O63" s="9">
        <v>0</v>
      </c>
      <c r="P63" s="9">
        <v>0</v>
      </c>
    </row>
    <row r="64" spans="1:16" x14ac:dyDescent="0.25">
      <c r="B64" s="8" t="s">
        <v>70</v>
      </c>
      <c r="C64" s="9">
        <f>C63*100/C65</f>
        <v>80</v>
      </c>
      <c r="D64" s="9">
        <f>D63*100/C65</f>
        <v>80</v>
      </c>
      <c r="E64" s="9">
        <f>E63*100/C65</f>
        <v>-75</v>
      </c>
      <c r="F64" s="9">
        <f>F63*100/C65</f>
        <v>-75</v>
      </c>
      <c r="G64" s="9">
        <f>G63*100/C65</f>
        <v>50</v>
      </c>
      <c r="H64" s="9">
        <f>H63*100/C65</f>
        <v>0</v>
      </c>
      <c r="I64" s="9">
        <f>I63*100/C65</f>
        <v>0</v>
      </c>
      <c r="J64" s="9">
        <f>J63*100/C65</f>
        <v>50</v>
      </c>
      <c r="K64" s="9">
        <f>K63*100/C65</f>
        <v>-100</v>
      </c>
      <c r="L64" s="9">
        <f>L63*100/C65</f>
        <v>-100</v>
      </c>
      <c r="M64" s="9">
        <f>M63*100/C65</f>
        <v>70.710678118654755</v>
      </c>
      <c r="N64" s="9">
        <f>N63*100/C65</f>
        <v>70.710678118654755</v>
      </c>
      <c r="O64" s="9">
        <f>O63*100/C65</f>
        <v>0</v>
      </c>
      <c r="P64" s="9">
        <f>P63*100/C65</f>
        <v>0</v>
      </c>
    </row>
    <row r="65" spans="2:16" x14ac:dyDescent="0.25">
      <c r="B65" s="1" t="s">
        <v>123</v>
      </c>
      <c r="C65">
        <f>MAX(ABS(P63),ABS(O63),ABS(N63),ABS(M63),ABS(L63),ABS(K63),ABS(J63),ABS(I63),ABS(H63),ABS(G63),ABS(F63),ABS(E63),ABS(D63),ABS(C63))</f>
        <v>6750</v>
      </c>
    </row>
    <row r="67" spans="2:1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3"/>
      <c r="M69" s="1"/>
      <c r="N69" s="1"/>
      <c r="O69" s="1"/>
      <c r="P69" s="1"/>
    </row>
    <row r="70" spans="2:16" x14ac:dyDescent="0.25">
      <c r="B70" s="8" t="s">
        <v>28</v>
      </c>
      <c r="C70" s="8" t="s">
        <v>29</v>
      </c>
      <c r="D70" s="8" t="s">
        <v>30</v>
      </c>
      <c r="E70" s="8" t="s">
        <v>30</v>
      </c>
      <c r="F70" s="8" t="s">
        <v>31</v>
      </c>
      <c r="G70" s="8" t="s">
        <v>31</v>
      </c>
      <c r="H70" s="8" t="s">
        <v>31</v>
      </c>
      <c r="I70" s="8" t="s">
        <v>33</v>
      </c>
      <c r="J70" s="8" t="s">
        <v>33</v>
      </c>
      <c r="K70" s="8" t="s">
        <v>33</v>
      </c>
      <c r="L70" s="8" t="s">
        <v>35</v>
      </c>
      <c r="M70" s="8" t="s">
        <v>35</v>
      </c>
      <c r="N70" s="8" t="s">
        <v>36</v>
      </c>
      <c r="O70" s="8" t="s">
        <v>32</v>
      </c>
      <c r="P70" s="8" t="s">
        <v>34</v>
      </c>
    </row>
    <row r="71" spans="2:16" x14ac:dyDescent="0.25">
      <c r="B71" s="8" t="s">
        <v>39</v>
      </c>
      <c r="C71" s="8" t="s">
        <v>43</v>
      </c>
      <c r="D71" s="8" t="s">
        <v>44</v>
      </c>
      <c r="E71" s="8" t="s">
        <v>45</v>
      </c>
      <c r="F71" s="8" t="s">
        <v>46</v>
      </c>
      <c r="G71" s="8" t="s">
        <v>47</v>
      </c>
      <c r="H71" s="8" t="s">
        <v>48</v>
      </c>
      <c r="I71" s="8" t="s">
        <v>49</v>
      </c>
      <c r="J71" s="8" t="s">
        <v>50</v>
      </c>
      <c r="K71" s="8" t="s">
        <v>51</v>
      </c>
      <c r="L71" s="8" t="s">
        <v>52</v>
      </c>
      <c r="M71" s="8" t="s">
        <v>53</v>
      </c>
      <c r="N71" s="8" t="s">
        <v>54</v>
      </c>
      <c r="O71" s="8" t="s">
        <v>55</v>
      </c>
      <c r="P71" s="8" t="s">
        <v>56</v>
      </c>
    </row>
    <row r="72" spans="2:16" x14ac:dyDescent="0.25">
      <c r="B72" s="8" t="s">
        <v>57</v>
      </c>
      <c r="C72" s="8">
        <f xml:space="preserve"> 4 * EI/L_AB</f>
        <v>14400</v>
      </c>
      <c r="D72" s="8">
        <f xml:space="preserve"> 4 * EI/L_AB</f>
        <v>14400</v>
      </c>
      <c r="E72" s="8">
        <f xml:space="preserve"> 4 * EI/L_BC</f>
        <v>18000</v>
      </c>
      <c r="F72" s="8">
        <f xml:space="preserve"> 4 * EI/L_BC</f>
        <v>18000</v>
      </c>
      <c r="G72" s="8">
        <f>3* EI / L_CD</f>
        <v>13500</v>
      </c>
      <c r="H72" s="8">
        <f>4*EI/L_CE</f>
        <v>14400</v>
      </c>
      <c r="I72" s="8">
        <f>4*EI/L_CE</f>
        <v>14400</v>
      </c>
      <c r="J72" s="8">
        <f>3*EI/L_EF</f>
        <v>13500</v>
      </c>
      <c r="K72" s="8">
        <f>4*EI/L_EG</f>
        <v>18000</v>
      </c>
      <c r="L72" s="8">
        <f>4*EI/L_EG</f>
        <v>18000</v>
      </c>
      <c r="M72" s="8">
        <f>4*EI/L_GH</f>
        <v>12727.922061357855</v>
      </c>
      <c r="N72" s="8">
        <f>4*EI/L_GH</f>
        <v>12727.922061357855</v>
      </c>
      <c r="O72" s="8">
        <f>3* EI / L_CD</f>
        <v>13500</v>
      </c>
      <c r="P72" s="8">
        <f>3*EI/L_EF</f>
        <v>13500</v>
      </c>
    </row>
    <row r="73" spans="2:16" x14ac:dyDescent="0.25">
      <c r="B73" s="8" t="s">
        <v>40</v>
      </c>
      <c r="C73" s="8">
        <v>0</v>
      </c>
      <c r="D73" s="8">
        <f>D72/SUM(D72:E72)</f>
        <v>0.44444444444444442</v>
      </c>
      <c r="E73" s="8">
        <f>E72/SUM(D72:E72)</f>
        <v>0.55555555555555558</v>
      </c>
      <c r="F73" s="8">
        <f>F72/SUM(F72:H72)</f>
        <v>0.39215686274509803</v>
      </c>
      <c r="G73" s="8">
        <f>G72/SUM(F72:H72)</f>
        <v>0.29411764705882354</v>
      </c>
      <c r="H73" s="8">
        <f>H72/SUM(F72:H72)</f>
        <v>0.31372549019607843</v>
      </c>
      <c r="I73" s="8">
        <f>I72/SUM(I72:K72)</f>
        <v>0.31372549019607843</v>
      </c>
      <c r="J73" s="8">
        <f>J72/SUM(I72:K72)</f>
        <v>0.29411764705882354</v>
      </c>
      <c r="K73" s="8">
        <f>K72/SUM(I72:K72)</f>
        <v>0.39215686274509803</v>
      </c>
      <c r="L73" s="8">
        <f>L72/SUM(L72:M72)</f>
        <v>0.58578643762690497</v>
      </c>
      <c r="M73" s="8">
        <f>M72/SUM(L72:M72)</f>
        <v>0.41421356237309503</v>
      </c>
      <c r="N73" s="8">
        <v>0</v>
      </c>
      <c r="O73" s="8">
        <v>1</v>
      </c>
      <c r="P73" s="8">
        <v>1</v>
      </c>
    </row>
    <row r="74" spans="2:16" x14ac:dyDescent="0.25">
      <c r="B74" s="8" t="s">
        <v>38</v>
      </c>
      <c r="C74" s="8">
        <f>C64</f>
        <v>80</v>
      </c>
      <c r="D74" s="8">
        <f t="shared" ref="D74:P74" si="33">D64</f>
        <v>80</v>
      </c>
      <c r="E74" s="8">
        <f t="shared" si="33"/>
        <v>-75</v>
      </c>
      <c r="F74" s="8">
        <f t="shared" si="33"/>
        <v>-75</v>
      </c>
      <c r="G74" s="8">
        <f t="shared" si="33"/>
        <v>50</v>
      </c>
      <c r="H74" s="8">
        <f t="shared" si="33"/>
        <v>0</v>
      </c>
      <c r="I74" s="8">
        <f t="shared" si="33"/>
        <v>0</v>
      </c>
      <c r="J74" s="8">
        <f t="shared" si="33"/>
        <v>50</v>
      </c>
      <c r="K74" s="8">
        <f t="shared" si="33"/>
        <v>-100</v>
      </c>
      <c r="L74" s="8">
        <f t="shared" si="33"/>
        <v>-100</v>
      </c>
      <c r="M74" s="8">
        <f t="shared" si="33"/>
        <v>70.710678118654755</v>
      </c>
      <c r="N74" s="8">
        <f t="shared" si="33"/>
        <v>70.710678118654755</v>
      </c>
      <c r="O74" s="8">
        <f t="shared" si="33"/>
        <v>0</v>
      </c>
      <c r="P74" s="8">
        <f t="shared" si="33"/>
        <v>0</v>
      </c>
    </row>
    <row r="75" spans="2:16" x14ac:dyDescent="0.25">
      <c r="B75" s="8" t="s">
        <v>41</v>
      </c>
      <c r="C75" s="8"/>
      <c r="D75" s="8">
        <f>-SUM(D74:E74)*D73</f>
        <v>-2.2222222222222223</v>
      </c>
      <c r="E75" s="8">
        <f>-SUM(D74:E74)*E73</f>
        <v>-2.7777777777777777</v>
      </c>
      <c r="F75" s="8">
        <f>-SUM(F74:H74)*F73</f>
        <v>9.8039215686274517</v>
      </c>
      <c r="G75" s="8">
        <f>-SUM(F74:H74)*G73</f>
        <v>7.3529411764705888</v>
      </c>
      <c r="H75" s="8">
        <f>-SUM(F74:H74)*H73</f>
        <v>7.8431372549019605</v>
      </c>
      <c r="I75" s="8">
        <f>-SUM(I74:K74)*I73</f>
        <v>15.686274509803921</v>
      </c>
      <c r="J75" s="8">
        <f>-SUM(I74:K74)*J73</f>
        <v>14.705882352941178</v>
      </c>
      <c r="K75" s="8">
        <f>-SUM(I74:K74)*K73</f>
        <v>19.607843137254903</v>
      </c>
      <c r="L75" s="8">
        <f>-(L74+M74)*L73</f>
        <v>17.15728752538099</v>
      </c>
      <c r="M75" s="8">
        <f>-(L74+M74)*M73</f>
        <v>12.132034355964256</v>
      </c>
      <c r="N75" s="8"/>
      <c r="O75" s="8"/>
      <c r="P75" s="8"/>
    </row>
    <row r="76" spans="2:16" x14ac:dyDescent="0.25">
      <c r="B76" s="8" t="s">
        <v>42</v>
      </c>
      <c r="C76" s="8">
        <f>D75/2</f>
        <v>-1.1111111111111112</v>
      </c>
      <c r="D76" s="8"/>
      <c r="E76" s="8">
        <f>F75/2</f>
        <v>4.9019607843137258</v>
      </c>
      <c r="F76" s="8">
        <f>E75/2</f>
        <v>-1.3888888888888888</v>
      </c>
      <c r="G76" s="8"/>
      <c r="H76" s="8">
        <f>I75/2</f>
        <v>7.8431372549019605</v>
      </c>
      <c r="I76" s="8">
        <f>H75/2</f>
        <v>3.9215686274509802</v>
      </c>
      <c r="J76" s="8"/>
      <c r="K76" s="8">
        <f>L75/2</f>
        <v>8.5786437626904952</v>
      </c>
      <c r="L76" s="8">
        <f>K75/2</f>
        <v>9.8039215686274517</v>
      </c>
      <c r="M76" s="8"/>
      <c r="N76" s="8">
        <f>M75/2</f>
        <v>6.0660171779821281</v>
      </c>
      <c r="O76" s="8"/>
      <c r="P76" s="8"/>
    </row>
    <row r="77" spans="2:16" x14ac:dyDescent="0.25">
      <c r="B77" s="8" t="s">
        <v>41</v>
      </c>
      <c r="C77" s="8"/>
      <c r="D77" s="8">
        <f>-SUM(D76:E76)*D73</f>
        <v>-2.1786492374727668</v>
      </c>
      <c r="E77" s="8">
        <f>-SUM(D76:E76)*E73</f>
        <v>-2.723311546840959</v>
      </c>
      <c r="F77" s="8">
        <f>-SUM(F76:H76)*F73</f>
        <v>-2.5310777905933617</v>
      </c>
      <c r="G77" s="8">
        <f>-SUM(F76:H76)*G73</f>
        <v>-1.8983083429450212</v>
      </c>
      <c r="H77" s="8">
        <f>-SUM(F76:H76)*H73</f>
        <v>-2.0248622324746894</v>
      </c>
      <c r="I77" s="8">
        <f>-SUM(I76:K76)*I73</f>
        <v>-3.9216352596522275</v>
      </c>
      <c r="J77" s="8">
        <f>-SUM(I76:K76)*J73</f>
        <v>-3.6765330559239637</v>
      </c>
      <c r="K77" s="8">
        <f>-SUM(I76:K76)*K73</f>
        <v>-4.9020440745652847</v>
      </c>
      <c r="L77" s="8">
        <f>-(L76+M76)*L73</f>
        <v>-5.7430042904598526</v>
      </c>
      <c r="M77" s="8">
        <f>-(L76+M76)*M73</f>
        <v>-4.0609172781675991</v>
      </c>
      <c r="N77" s="8"/>
      <c r="O77" s="8"/>
      <c r="P77" s="8"/>
    </row>
    <row r="78" spans="2:16" x14ac:dyDescent="0.25">
      <c r="B78" s="8" t="s">
        <v>42</v>
      </c>
      <c r="C78" s="8">
        <f>D77/2</f>
        <v>-1.0893246187363834</v>
      </c>
      <c r="D78" s="8"/>
      <c r="E78" s="8">
        <f>F77/2</f>
        <v>-1.2655388952966808</v>
      </c>
      <c r="F78" s="8">
        <f>E77/2</f>
        <v>-1.3616557734204795</v>
      </c>
      <c r="G78" s="8"/>
      <c r="H78" s="8">
        <f>I77/2</f>
        <v>-1.9608176298261137</v>
      </c>
      <c r="I78" s="8">
        <f>H77/2</f>
        <v>-1.0124311162373447</v>
      </c>
      <c r="J78" s="8"/>
      <c r="K78" s="8">
        <f>L77/2</f>
        <v>-2.8715021452299263</v>
      </c>
      <c r="L78" s="8">
        <f>K77/2</f>
        <v>-2.4510220372826423</v>
      </c>
      <c r="M78" s="8"/>
      <c r="N78" s="8">
        <f>M77/2</f>
        <v>-2.0304586390837995</v>
      </c>
      <c r="O78" s="8"/>
      <c r="P78" s="8"/>
    </row>
    <row r="79" spans="2:16" x14ac:dyDescent="0.25">
      <c r="B79" s="8" t="s">
        <v>41</v>
      </c>
      <c r="C79" s="8"/>
      <c r="D79" s="8">
        <f>-SUM(D78:E78)*D73</f>
        <v>0.56246173124296928</v>
      </c>
      <c r="E79" s="8">
        <f>-SUM(D78:E78)*E73</f>
        <v>0.70307716405371157</v>
      </c>
      <c r="F79" s="8">
        <f>-SUM(F78:H78)*F73</f>
        <v>1.302930746371213</v>
      </c>
      <c r="G79" s="8">
        <f>-SUM(F78:H78)*G73</f>
        <v>0.97719805977840979</v>
      </c>
      <c r="H79" s="8">
        <f>-SUM(F78:H78)*H73</f>
        <v>1.0423445970969702</v>
      </c>
      <c r="I79" s="8">
        <f>-SUM(I78:K78)*I73</f>
        <v>1.2184888663426732</v>
      </c>
      <c r="J79" s="8">
        <f>-SUM(I78:K78)*J73</f>
        <v>1.1423333121962562</v>
      </c>
      <c r="K79" s="8">
        <f>-SUM(I78:K78)*K73</f>
        <v>1.5231110829283414</v>
      </c>
      <c r="L79" s="8">
        <f>-(L78+M78)*L73</f>
        <v>1.435775467764838</v>
      </c>
      <c r="M79" s="8">
        <f>-(L78+M78)*M73</f>
        <v>1.0152465695178043</v>
      </c>
      <c r="N79" s="8"/>
      <c r="O79" s="8"/>
      <c r="P79" s="8"/>
    </row>
    <row r="80" spans="2:16" x14ac:dyDescent="0.25">
      <c r="B80" s="8" t="s">
        <v>42</v>
      </c>
      <c r="C80" s="8">
        <f t="shared" ref="C80" si="34">D79/2</f>
        <v>0.28123086562148464</v>
      </c>
      <c r="D80" s="8"/>
      <c r="E80" s="8">
        <f t="shared" ref="E80" si="35">F79/2</f>
        <v>0.65146537318560649</v>
      </c>
      <c r="F80" s="8">
        <f t="shared" ref="F80" si="36">E79/2</f>
        <v>0.35153858202685578</v>
      </c>
      <c r="G80" s="8"/>
      <c r="H80" s="8">
        <f t="shared" ref="H80" si="37">I79/2</f>
        <v>0.60924443317133659</v>
      </c>
      <c r="I80" s="8">
        <f t="shared" ref="I80" si="38">H79/2</f>
        <v>0.52117229854848512</v>
      </c>
      <c r="J80" s="8"/>
      <c r="K80" s="8">
        <f t="shared" ref="K80" si="39">L79/2</f>
        <v>0.717887733882419</v>
      </c>
      <c r="L80" s="8">
        <f t="shared" ref="L80" si="40">K79/2</f>
        <v>0.7615555414641707</v>
      </c>
      <c r="M80" s="8"/>
      <c r="N80" s="8">
        <f t="shared" ref="N80" si="41">M79/2</f>
        <v>0.50762328475890217</v>
      </c>
      <c r="O80" s="8"/>
      <c r="P80" s="8"/>
    </row>
    <row r="81" spans="2:16" x14ac:dyDescent="0.25">
      <c r="B81" s="8" t="s">
        <v>41</v>
      </c>
      <c r="C81" s="8"/>
      <c r="D81" s="8">
        <f>-SUM(D80:E80)*D73</f>
        <v>-0.28954016586026954</v>
      </c>
      <c r="E81" s="8">
        <f>-SUM(D80:E80)*E73</f>
        <v>-0.36192520732533695</v>
      </c>
      <c r="F81" s="8">
        <f>-SUM(F80:H80)*F73</f>
        <v>-0.37677765301889898</v>
      </c>
      <c r="G81" s="8">
        <f>-SUM(F80:H80)*G73</f>
        <v>-0.28258323976417427</v>
      </c>
      <c r="H81" s="8">
        <f>-SUM(F80:H80)*H73</f>
        <v>-0.30142212241511918</v>
      </c>
      <c r="I81" s="8">
        <f>-SUM(I80:K80)*I73</f>
        <v>-0.38872471605675418</v>
      </c>
      <c r="J81" s="8">
        <f>-SUM(I80:K80)*J73</f>
        <v>-0.3644294213032071</v>
      </c>
      <c r="K81" s="8">
        <f>-SUM(I80:K80)*K73</f>
        <v>-0.48590589507094273</v>
      </c>
      <c r="L81" s="8">
        <f>-(L80+M80)*L73</f>
        <v>-0.44610890768932526</v>
      </c>
      <c r="M81" s="8">
        <f>-(L80+M80)*M73</f>
        <v>-0.31544663377484544</v>
      </c>
      <c r="N81" s="8"/>
      <c r="O81" s="8"/>
      <c r="P81" s="8"/>
    </row>
    <row r="82" spans="2:16" x14ac:dyDescent="0.25">
      <c r="B82" s="8" t="s">
        <v>42</v>
      </c>
      <c r="C82" s="8">
        <f t="shared" ref="C82" si="42">D81/2</f>
        <v>-0.14477008293013477</v>
      </c>
      <c r="D82" s="8"/>
      <c r="E82" s="8">
        <f t="shared" ref="E82" si="43">F81/2</f>
        <v>-0.18838882650944949</v>
      </c>
      <c r="F82" s="8">
        <f t="shared" ref="F82" si="44">E81/2</f>
        <v>-0.18096260366266848</v>
      </c>
      <c r="G82" s="8"/>
      <c r="H82" s="8">
        <f t="shared" ref="H82" si="45">I81/2</f>
        <v>-0.19436235802837709</v>
      </c>
      <c r="I82" s="8">
        <f t="shared" ref="I82" si="46">H81/2</f>
        <v>-0.15071106120755959</v>
      </c>
      <c r="J82" s="8"/>
      <c r="K82" s="8">
        <f t="shared" ref="K82" si="47">L81/2</f>
        <v>-0.22305445384466263</v>
      </c>
      <c r="L82" s="8">
        <f t="shared" ref="L82" si="48">K81/2</f>
        <v>-0.24295294753547136</v>
      </c>
      <c r="M82" s="8"/>
      <c r="N82" s="8">
        <f t="shared" ref="N82" si="49">M81/2</f>
        <v>-0.15772331688742272</v>
      </c>
      <c r="O82" s="8"/>
      <c r="P82" s="8"/>
    </row>
    <row r="83" spans="2:16" x14ac:dyDescent="0.25">
      <c r="B83" s="8" t="s">
        <v>41</v>
      </c>
      <c r="C83" s="8"/>
      <c r="D83" s="8">
        <f>-SUM(D82:E82)*D73</f>
        <v>8.3728367337533097E-2</v>
      </c>
      <c r="E83" s="8">
        <f>-SUM(D82:E82)*E73</f>
        <v>0.1046604591719164</v>
      </c>
      <c r="F83" s="8">
        <f>-SUM(F82:H82)*F73</f>
        <v>0.14718625948668454</v>
      </c>
      <c r="G83" s="8">
        <f>-SUM(F82:H82)*G73</f>
        <v>0.11038969461501341</v>
      </c>
      <c r="H83" s="8">
        <f>-SUM(F82:H82)*H73</f>
        <v>0.11774900758934763</v>
      </c>
      <c r="I83" s="8">
        <f>-SUM(I82:K82)*I73</f>
        <v>0.11725976942814814</v>
      </c>
      <c r="J83" s="8">
        <f>-SUM(I82:K82)*J73</f>
        <v>0.10993103383888889</v>
      </c>
      <c r="K83" s="8">
        <f>-SUM(I82:K82)*K73</f>
        <v>0.14657471178518519</v>
      </c>
      <c r="L83" s="8">
        <f>-(L82+M82)*L73</f>
        <v>0.14231854164776012</v>
      </c>
      <c r="M83" s="8">
        <f>-(L82+M82)*M73</f>
        <v>0.10063440588771125</v>
      </c>
      <c r="N83" s="8"/>
      <c r="O83" s="8"/>
      <c r="P83" s="8"/>
    </row>
    <row r="84" spans="2:16" x14ac:dyDescent="0.25">
      <c r="B84" s="8" t="s">
        <v>42</v>
      </c>
      <c r="C84" s="8">
        <f t="shared" ref="C84" si="50">D83/2</f>
        <v>4.1864183668766548E-2</v>
      </c>
      <c r="D84" s="8"/>
      <c r="E84" s="8">
        <f t="shared" ref="E84" si="51">F83/2</f>
        <v>7.359312974334227E-2</v>
      </c>
      <c r="F84" s="8">
        <f t="shared" ref="F84" si="52">E83/2</f>
        <v>5.2330229585958198E-2</v>
      </c>
      <c r="G84" s="8"/>
      <c r="H84" s="8">
        <f t="shared" ref="H84" si="53">I83/2</f>
        <v>5.8629884714074071E-2</v>
      </c>
      <c r="I84" s="8">
        <f t="shared" ref="I84" si="54">H83/2</f>
        <v>5.8874503794673815E-2</v>
      </c>
      <c r="J84" s="8"/>
      <c r="K84" s="8">
        <f t="shared" ref="K84" si="55">L83/2</f>
        <v>7.1159270823880058E-2</v>
      </c>
      <c r="L84" s="8">
        <f t="shared" ref="L84" si="56">K83/2</f>
        <v>7.3287355892592596E-2</v>
      </c>
      <c r="M84" s="8"/>
      <c r="N84" s="8">
        <f t="shared" ref="N84" si="57">M83/2</f>
        <v>5.0317202943855624E-2</v>
      </c>
      <c r="O84" s="8"/>
      <c r="P84" s="8"/>
    </row>
    <row r="85" spans="2:16" x14ac:dyDescent="0.25">
      <c r="B85" s="8" t="s">
        <v>41</v>
      </c>
      <c r="C85" s="8"/>
      <c r="D85" s="8">
        <f>-SUM(D84:E84)*D73</f>
        <v>-3.2708057663707671E-2</v>
      </c>
      <c r="E85" s="8">
        <f>-SUM(D84:E84)*E73</f>
        <v>-4.0885072079634599E-2</v>
      </c>
      <c r="F85" s="8">
        <f>-SUM(F84:H84)*F73</f>
        <v>-4.3513770313738147E-2</v>
      </c>
      <c r="G85" s="8">
        <f>-SUM(F84:H84)*G73</f>
        <v>-3.2635327735303608E-2</v>
      </c>
      <c r="H85" s="8">
        <f>-SUM(F84:H84)*H73</f>
        <v>-3.481101625099052E-2</v>
      </c>
      <c r="I85" s="8">
        <f>-SUM(I84:K84)*I73</f>
        <v>-4.0794909684252194E-2</v>
      </c>
      <c r="J85" s="8">
        <f>-SUM(I84:K84)*J73</f>
        <v>-3.8245227828986435E-2</v>
      </c>
      <c r="K85" s="8">
        <f>-SUM(I84:K84)*K73</f>
        <v>-5.0993637105315244E-2</v>
      </c>
      <c r="L85" s="8">
        <f>-(L84+M84)*L73</f>
        <v>-4.2930739131416977E-2</v>
      </c>
      <c r="M85" s="8">
        <f>-(L84+M84)*M73</f>
        <v>-3.0356616761175619E-2</v>
      </c>
      <c r="N85" s="8"/>
      <c r="O85" s="8"/>
      <c r="P85" s="8"/>
    </row>
    <row r="86" spans="2:16" x14ac:dyDescent="0.25">
      <c r="B86" s="8" t="s">
        <v>42</v>
      </c>
      <c r="C86" s="8">
        <f t="shared" ref="C86" si="58">D85/2</f>
        <v>-1.6354028831853835E-2</v>
      </c>
      <c r="D86" s="8"/>
      <c r="E86" s="8">
        <f t="shared" ref="E86" si="59">F85/2</f>
        <v>-2.1756885156869073E-2</v>
      </c>
      <c r="F86" s="8">
        <f t="shared" ref="F86" si="60">E85/2</f>
        <v>-2.0442536039817299E-2</v>
      </c>
      <c r="G86" s="8"/>
      <c r="H86" s="8">
        <f t="shared" ref="H86" si="61">I85/2</f>
        <v>-2.0397454842126097E-2</v>
      </c>
      <c r="I86" s="8">
        <f t="shared" ref="I86" si="62">H85/2</f>
        <v>-1.740550812549526E-2</v>
      </c>
      <c r="J86" s="8"/>
      <c r="K86" s="8">
        <f t="shared" ref="K86" si="63">L85/2</f>
        <v>-2.1465369565708489E-2</v>
      </c>
      <c r="L86" s="8">
        <f t="shared" ref="L86" si="64">K85/2</f>
        <v>-2.5496818552657622E-2</v>
      </c>
      <c r="M86" s="8"/>
      <c r="N86" s="8">
        <f t="shared" ref="N86" si="65">M85/2</f>
        <v>-1.5178308380587809E-2</v>
      </c>
      <c r="O86" s="8"/>
      <c r="P86" s="8"/>
    </row>
    <row r="87" spans="2:16" x14ac:dyDescent="0.25">
      <c r="B87" s="8" t="s">
        <v>41</v>
      </c>
      <c r="C87" s="8"/>
      <c r="D87" s="8">
        <f>-SUM(D86:E86)*D73</f>
        <v>9.6697267363862541E-3</v>
      </c>
      <c r="E87" s="8">
        <f>-SUM(D86:E86)*E73</f>
        <v>1.2087158420482819E-2</v>
      </c>
      <c r="F87" s="8">
        <f>-SUM(F86:H86)*F73</f>
        <v>1.6015682698801333E-2</v>
      </c>
      <c r="G87" s="8">
        <f>-SUM(F86:H86)*G73</f>
        <v>1.2011762024101001E-2</v>
      </c>
      <c r="H87" s="8">
        <f>-SUM(F86:H86)*H73</f>
        <v>1.2812546159041066E-2</v>
      </c>
      <c r="I87" s="8">
        <f>-SUM(I86:K86)*I73</f>
        <v>1.2194785158024704E-2</v>
      </c>
      <c r="J87" s="8">
        <f>-SUM(I86:K86)*J73</f>
        <v>1.1432611085648161E-2</v>
      </c>
      <c r="K87" s="8">
        <f>-SUM(I86:K86)*K73</f>
        <v>1.524348144753088E-2</v>
      </c>
      <c r="L87" s="8">
        <f>-(L86+M86)*L73</f>
        <v>1.4935690510780888E-2</v>
      </c>
      <c r="M87" s="8">
        <f>-(L86+M86)*M73</f>
        <v>1.0561128041876734E-2</v>
      </c>
      <c r="N87" s="8"/>
      <c r="O87" s="8"/>
      <c r="P87" s="8"/>
    </row>
    <row r="88" spans="2:1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5">
      <c r="B89" s="5" t="s">
        <v>39</v>
      </c>
      <c r="C89" s="5" t="s">
        <v>43</v>
      </c>
      <c r="D89" s="5" t="s">
        <v>44</v>
      </c>
      <c r="E89" s="5" t="s">
        <v>45</v>
      </c>
      <c r="F89" s="5" t="s">
        <v>46</v>
      </c>
      <c r="G89" s="5" t="s">
        <v>47</v>
      </c>
      <c r="H89" s="5" t="s">
        <v>48</v>
      </c>
      <c r="I89" s="5" t="s">
        <v>49</v>
      </c>
      <c r="J89" s="5" t="s">
        <v>50</v>
      </c>
      <c r="K89" s="5" t="s">
        <v>51</v>
      </c>
      <c r="L89" s="5" t="s">
        <v>52</v>
      </c>
      <c r="M89" s="5" t="s">
        <v>53</v>
      </c>
      <c r="N89" s="5" t="s">
        <v>54</v>
      </c>
      <c r="O89" s="5" t="s">
        <v>55</v>
      </c>
      <c r="P89" s="5" t="s">
        <v>56</v>
      </c>
    </row>
    <row r="90" spans="2:16" x14ac:dyDescent="0.25">
      <c r="B90" s="5" t="s">
        <v>92</v>
      </c>
      <c r="C90" s="5">
        <f>SUM(C74:C87)</f>
        <v>77.961535207680754</v>
      </c>
      <c r="D90" s="5">
        <f t="shared" ref="D90:N90" si="66">SUM(D74:D87)</f>
        <v>75.932740142097913</v>
      </c>
      <c r="E90" s="5">
        <f t="shared" si="66"/>
        <v>-75.932740142097941</v>
      </c>
      <c r="F90" s="5">
        <f t="shared" si="66"/>
        <v>-69.229395947140858</v>
      </c>
      <c r="G90" s="5">
        <f t="shared" si="66"/>
        <v>56.239013782443614</v>
      </c>
      <c r="H90" s="5">
        <f t="shared" si="66"/>
        <v>12.990382164697278</v>
      </c>
      <c r="I90" s="5">
        <f t="shared" si="66"/>
        <v>16.00413078956327</v>
      </c>
      <c r="J90" s="5">
        <f t="shared" si="66"/>
        <v>61.890371605005811</v>
      </c>
      <c r="K90" s="5">
        <f t="shared" si="66"/>
        <v>-77.894502394569088</v>
      </c>
      <c r="L90" s="5">
        <f t="shared" si="66"/>
        <v>-79.562434049362778</v>
      </c>
      <c r="M90" s="5">
        <f t="shared" si="66"/>
        <v>79.562434049362778</v>
      </c>
      <c r="N90" s="5">
        <f t="shared" si="66"/>
        <v>75.131275519987838</v>
      </c>
      <c r="O90" s="5">
        <v>0</v>
      </c>
      <c r="P90" s="5">
        <v>0</v>
      </c>
    </row>
    <row r="91" spans="2:16" x14ac:dyDescent="0.2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2:16" x14ac:dyDescent="0.25">
      <c r="B92" s="5" t="s">
        <v>93</v>
      </c>
      <c r="C92" s="5"/>
      <c r="D92" s="5"/>
      <c r="E92" s="5">
        <f>(-SUM(E90:F90)/L_BC)</f>
        <v>36.2905340223097</v>
      </c>
      <c r="F92" s="5">
        <f>(-SUM(E90:F90)/L_BC)</f>
        <v>36.2905340223097</v>
      </c>
      <c r="G92" s="5">
        <f>-G90/L_CD</f>
        <v>-14.059753445610903</v>
      </c>
      <c r="H92" s="5">
        <f>-(SUM(H90:I90)/L_CE)</f>
        <v>-5.7989025908521104</v>
      </c>
      <c r="I92" s="5">
        <f>-(SUM(H90:I90)/L_CE)</f>
        <v>-5.7989025908521104</v>
      </c>
      <c r="J92" s="5">
        <f>-J90/L_EF</f>
        <v>-15.472592901251453</v>
      </c>
      <c r="K92" s="5">
        <f>-(SUM(K90:L90)/L_EG)</f>
        <v>39.364234110982963</v>
      </c>
      <c r="L92" s="5">
        <f>-(SUM(K90:L90)/L_EG)</f>
        <v>39.364234110982963</v>
      </c>
      <c r="M92" s="5"/>
      <c r="N92" s="5"/>
      <c r="O92" s="5"/>
      <c r="P92" s="5"/>
    </row>
    <row r="93" spans="2:1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25">
      <c r="B94" s="1"/>
      <c r="C94" s="1" t="s">
        <v>60</v>
      </c>
      <c r="D94" s="1"/>
      <c r="E94" s="1"/>
      <c r="F94" s="1"/>
      <c r="G94" s="1" t="s">
        <v>63</v>
      </c>
      <c r="H94" s="1"/>
      <c r="I94" s="1"/>
      <c r="J94" s="1" t="s">
        <v>64</v>
      </c>
      <c r="K94" s="1"/>
      <c r="L94" s="1"/>
      <c r="M94" s="1" t="s">
        <v>62</v>
      </c>
      <c r="N94" s="1" t="s">
        <v>61</v>
      </c>
      <c r="O94" s="1"/>
      <c r="P94" s="1"/>
    </row>
    <row r="95" spans="2:16" x14ac:dyDescent="0.25">
      <c r="B95" s="1"/>
      <c r="C95" s="1">
        <f>-((SUM(C90:D90)+E92*S1_)/H1_)</f>
        <v>-65.691469354176945</v>
      </c>
      <c r="D95" s="1"/>
      <c r="E95" s="1"/>
      <c r="F95" s="1"/>
      <c r="G95" s="1">
        <f>G92</f>
        <v>-14.059753445610903</v>
      </c>
      <c r="H95" s="1"/>
      <c r="I95" s="1"/>
      <c r="J95" s="1">
        <f>J92</f>
        <v>-15.472592901251453</v>
      </c>
      <c r="K95" s="1"/>
      <c r="L95" s="1"/>
      <c r="M95" s="1">
        <f>L92</f>
        <v>39.364234110982963</v>
      </c>
      <c r="N95" s="1">
        <f>-(SUM(M90:N90)+(M95*S3_))/H1_</f>
        <v>-78.037661503320621</v>
      </c>
      <c r="O95" s="1"/>
      <c r="P95" s="1"/>
    </row>
    <row r="96" spans="2:16" x14ac:dyDescent="0.25">
      <c r="B96" s="1"/>
      <c r="C96" s="1" t="s">
        <v>7</v>
      </c>
      <c r="D96" s="1"/>
      <c r="E96" s="1"/>
      <c r="F96" s="1"/>
      <c r="G96" s="1" t="s">
        <v>7</v>
      </c>
      <c r="H96" s="1"/>
      <c r="I96" s="1"/>
      <c r="J96" s="1" t="s">
        <v>7</v>
      </c>
      <c r="K96" s="1"/>
      <c r="L96" s="1"/>
      <c r="M96" s="1" t="s">
        <v>7</v>
      </c>
      <c r="N96" s="1" t="s">
        <v>7</v>
      </c>
      <c r="O96" s="1"/>
      <c r="P96" s="1"/>
    </row>
    <row r="97" spans="1:1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6" t="s">
        <v>76</v>
      </c>
      <c r="B99" s="5">
        <f>-SUM(N95,J95,G95,C95)</f>
        <v>173.26147720435992</v>
      </c>
      <c r="C99" s="5" t="s">
        <v>7</v>
      </c>
      <c r="D99" s="5" t="s">
        <v>71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2" spans="1:16" ht="15.75" thickBot="1" x14ac:dyDescent="0.3"/>
    <row r="103" spans="1:16" ht="16.5" thickTop="1" thickBot="1" x14ac:dyDescent="0.3">
      <c r="A103" s="10" t="s">
        <v>72</v>
      </c>
    </row>
    <row r="104" spans="1:16" ht="15.75" thickTop="1" x14ac:dyDescent="0.25"/>
    <row r="106" spans="1:16" x14ac:dyDescent="0.25">
      <c r="B106" s="8" t="s">
        <v>39</v>
      </c>
      <c r="C106" s="8" t="s">
        <v>43</v>
      </c>
      <c r="D106" s="8" t="s">
        <v>44</v>
      </c>
      <c r="E106" s="8" t="s">
        <v>45</v>
      </c>
      <c r="F106" s="8" t="s">
        <v>46</v>
      </c>
      <c r="G106" s="8" t="s">
        <v>47</v>
      </c>
      <c r="H106" s="8" t="s">
        <v>48</v>
      </c>
      <c r="I106" s="8" t="s">
        <v>49</v>
      </c>
      <c r="J106" s="8" t="s">
        <v>50</v>
      </c>
      <c r="K106" s="8" t="s">
        <v>51</v>
      </c>
      <c r="L106" s="8" t="s">
        <v>52</v>
      </c>
      <c r="M106" s="8" t="s">
        <v>53</v>
      </c>
      <c r="N106" s="8" t="s">
        <v>54</v>
      </c>
      <c r="O106" s="8" t="s">
        <v>55</v>
      </c>
      <c r="P106" s="8" t="s">
        <v>56</v>
      </c>
    </row>
    <row r="107" spans="1:16" x14ac:dyDescent="0.25">
      <c r="B107" s="9" t="s">
        <v>74</v>
      </c>
      <c r="C107" s="9">
        <f t="shared" ref="C107:P107" si="67">C35</f>
        <v>3.25327495223334</v>
      </c>
      <c r="D107" s="9">
        <f t="shared" si="67"/>
        <v>6.507611324519269</v>
      </c>
      <c r="E107" s="9">
        <f t="shared" si="67"/>
        <v>-6.5076113245192699</v>
      </c>
      <c r="F107" s="9">
        <f t="shared" si="67"/>
        <v>22.787025179478746</v>
      </c>
      <c r="G107" s="9">
        <f t="shared" si="67"/>
        <v>2.0403236168903027</v>
      </c>
      <c r="H107" s="9">
        <f t="shared" si="67"/>
        <v>-24.827348796369044</v>
      </c>
      <c r="I107" s="9">
        <f t="shared" si="67"/>
        <v>22.079917033660362</v>
      </c>
      <c r="J107" s="9">
        <f t="shared" si="67"/>
        <v>-3.7559836708171424</v>
      </c>
      <c r="K107" s="9">
        <f t="shared" si="67"/>
        <v>-18.323933362843217</v>
      </c>
      <c r="L107" s="9">
        <f t="shared" si="67"/>
        <v>18.86779638681455</v>
      </c>
      <c r="M107" s="9">
        <f t="shared" si="67"/>
        <v>-6.8677963868145531</v>
      </c>
      <c r="N107" s="9">
        <f t="shared" si="67"/>
        <v>12.56457299165556</v>
      </c>
      <c r="O107" s="9">
        <f t="shared" si="67"/>
        <v>0</v>
      </c>
      <c r="P107" s="9">
        <f t="shared" si="67"/>
        <v>0</v>
      </c>
    </row>
    <row r="108" spans="1:16" x14ac:dyDescent="0.25">
      <c r="B108" s="9" t="s">
        <v>75</v>
      </c>
      <c r="C108" s="9">
        <f t="shared" ref="C108:P108" si="68">C90</f>
        <v>77.961535207680754</v>
      </c>
      <c r="D108" s="9">
        <f t="shared" si="68"/>
        <v>75.932740142097913</v>
      </c>
      <c r="E108" s="9">
        <f t="shared" si="68"/>
        <v>-75.932740142097941</v>
      </c>
      <c r="F108" s="9">
        <f t="shared" si="68"/>
        <v>-69.229395947140858</v>
      </c>
      <c r="G108" s="9">
        <f t="shared" si="68"/>
        <v>56.239013782443614</v>
      </c>
      <c r="H108" s="9">
        <f t="shared" si="68"/>
        <v>12.990382164697278</v>
      </c>
      <c r="I108" s="9">
        <f t="shared" si="68"/>
        <v>16.00413078956327</v>
      </c>
      <c r="J108" s="9">
        <f t="shared" si="68"/>
        <v>61.890371605005811</v>
      </c>
      <c r="K108" s="9">
        <f t="shared" si="68"/>
        <v>-77.894502394569088</v>
      </c>
      <c r="L108" s="9">
        <f t="shared" si="68"/>
        <v>-79.562434049362778</v>
      </c>
      <c r="M108" s="9">
        <f t="shared" si="68"/>
        <v>79.562434049362778</v>
      </c>
      <c r="N108" s="9">
        <f t="shared" si="68"/>
        <v>75.131275519987838</v>
      </c>
      <c r="O108" s="9">
        <f t="shared" si="68"/>
        <v>0</v>
      </c>
      <c r="P108" s="9">
        <f t="shared" si="68"/>
        <v>0</v>
      </c>
    </row>
    <row r="109" spans="1:16" x14ac:dyDescent="0.25">
      <c r="B109" s="9" t="s">
        <v>73</v>
      </c>
      <c r="C109" s="9">
        <f>(ABS(B44/B99)*C108)+C107</f>
        <v>18.440865681299908</v>
      </c>
      <c r="D109" s="9">
        <f>(ABS(B44/B99)*D108)+D107</f>
        <v>21.299974983632161</v>
      </c>
      <c r="E109" s="9">
        <f>(ABS(B44/B99)*E108)+E107</f>
        <v>-21.299974983632168</v>
      </c>
      <c r="F109" s="9">
        <f>(ABS(B44/B99)*F108)+F107</f>
        <v>9.3005317533963847</v>
      </c>
      <c r="G109" s="9">
        <f>(ABS(B44/B99)*G108)+G107</f>
        <v>12.996176680311486</v>
      </c>
      <c r="H109" s="9">
        <f>(ABS(B44/B99)*H108)+H107</f>
        <v>-22.296708433707856</v>
      </c>
      <c r="I109" s="9">
        <f>(ABS(B44/B99)*I108)+I107</f>
        <v>25.19766205700866</v>
      </c>
      <c r="J109" s="9">
        <f>(ABS(B44/B99)*J108)+J107</f>
        <v>8.3008034550739573</v>
      </c>
      <c r="K109" s="9">
        <f>(ABS(B44/B99)*K108)+K107</f>
        <v>-33.498465512082618</v>
      </c>
      <c r="L109" s="9">
        <f>(ABS(B44/B99)*L108)+L107</f>
        <v>3.3683365245743726</v>
      </c>
      <c r="M109" s="9">
        <f>(ABS(B44/B99)*M108)+M107</f>
        <v>8.6316634754256256</v>
      </c>
      <c r="N109" s="9">
        <f>(ABS(B44/B99)*N108)+N107</f>
        <v>27.200804314071796</v>
      </c>
      <c r="O109" s="9">
        <f>(ABS(B44/B99)*O108)+O107</f>
        <v>0</v>
      </c>
      <c r="P109" s="9">
        <f>(ABS(B44/B99)*P108)+P107</f>
        <v>0</v>
      </c>
    </row>
    <row r="111" spans="1:16" x14ac:dyDescent="0.25">
      <c r="B111" s="9" t="s">
        <v>58</v>
      </c>
      <c r="C111" s="9"/>
      <c r="D111" s="9"/>
      <c r="E111" s="9">
        <f>(-SUM(E109:F109)/L_BC)+(0.5*_1.2W2*L_BC)</f>
        <v>26.999860807558946</v>
      </c>
      <c r="F111" s="9">
        <f>(-SUM(E109:F109)/L_BC)-(0.5*_1.2W2*L_BC)</f>
        <v>-21.000139192441054</v>
      </c>
      <c r="G111" s="9">
        <f>-G109/L_CD</f>
        <v>-3.2490441700778714</v>
      </c>
      <c r="H111" s="9">
        <f>(-SUM(H109:I109)/L_CE)+(0.5*_1.2W2*L_CE)</f>
        <v>29.419809275339841</v>
      </c>
      <c r="I111" s="9">
        <f>(-SUM(H109:I109)/L_CE)-(0.5*_1.2W2*L_CE)</f>
        <v>-30.580190724660159</v>
      </c>
      <c r="J111" s="9">
        <f>-J109/L_EF</f>
        <v>-2.0752008637684893</v>
      </c>
      <c r="K111" s="9">
        <f>(-SUM(K109:L109)/L_EG)+(0.5*_1.2W2*L_EG)</f>
        <v>31.532532246877061</v>
      </c>
      <c r="L111" s="9">
        <f>(-SUM(K109:L109)/L_EG)-(0.5*_1.2W2*L_EG)</f>
        <v>-16.467467753122939</v>
      </c>
    </row>
    <row r="113" spans="1:70" x14ac:dyDescent="0.25">
      <c r="A113" t="s">
        <v>191</v>
      </c>
      <c r="C113" s="6" t="s">
        <v>60</v>
      </c>
      <c r="D113" s="6" t="s">
        <v>193</v>
      </c>
      <c r="M113" s="6" t="s">
        <v>195</v>
      </c>
      <c r="N113" s="6" t="s">
        <v>61</v>
      </c>
      <c r="O113" s="6" t="s">
        <v>63</v>
      </c>
      <c r="P113" s="6" t="s">
        <v>64</v>
      </c>
    </row>
    <row r="114" spans="1:70" x14ac:dyDescent="0.25">
      <c r="C114" s="6">
        <f>-(SUM(C109:D109)+(E111*S1_))/H1_</f>
        <v>-30.185105771902226</v>
      </c>
      <c r="D114" s="6">
        <f>C114</f>
        <v>-30.185105771902226</v>
      </c>
      <c r="M114" s="6">
        <f>-(SUM(M109:N109)+(M116*S3_))/H1_</f>
        <v>19.509350805748582</v>
      </c>
      <c r="N114" s="6">
        <f>-1*(SUM(M109:N109)+(M116*S3_)+(0.5*LW*H1_*H1_))/H1_</f>
        <v>3.509350805748582</v>
      </c>
      <c r="O114" s="6">
        <f>G111</f>
        <v>-3.2490441700778714</v>
      </c>
      <c r="P114" s="6">
        <f>J111</f>
        <v>-2.0752008637684893</v>
      </c>
    </row>
    <row r="115" spans="1:70" x14ac:dyDescent="0.25">
      <c r="C115" s="6" t="s">
        <v>78</v>
      </c>
      <c r="D115" s="6" t="s">
        <v>194</v>
      </c>
      <c r="M115" s="6" t="s">
        <v>196</v>
      </c>
      <c r="N115" s="6" t="s">
        <v>81</v>
      </c>
      <c r="O115" s="6"/>
      <c r="P115" s="6"/>
    </row>
    <row r="116" spans="1:70" x14ac:dyDescent="0.25">
      <c r="C116" s="6">
        <f>E111</f>
        <v>26.999860807558946</v>
      </c>
      <c r="D116" s="6">
        <f>E111</f>
        <v>26.999860807558946</v>
      </c>
      <c r="M116" s="6">
        <f>L111-(_1.2W1*2)</f>
        <v>-28.467467753122939</v>
      </c>
      <c r="N116" s="6">
        <f>M116</f>
        <v>-28.467467753122939</v>
      </c>
      <c r="O116" s="6"/>
      <c r="P116" s="6"/>
    </row>
    <row r="119" spans="1:70" x14ac:dyDescent="0.25">
      <c r="A119" s="2" t="s">
        <v>192</v>
      </c>
      <c r="C119" s="6" t="s">
        <v>60</v>
      </c>
      <c r="D119" s="6"/>
      <c r="N119" s="6" t="s">
        <v>61</v>
      </c>
      <c r="O119" s="6" t="s">
        <v>63</v>
      </c>
      <c r="P119" s="6" t="s">
        <v>64</v>
      </c>
    </row>
    <row r="120" spans="1:70" x14ac:dyDescent="0.25">
      <c r="C120" s="6">
        <f>-C114</f>
        <v>30.185105771902226</v>
      </c>
      <c r="D120" s="6"/>
      <c r="N120" s="6">
        <f>-N114</f>
        <v>-3.509350805748582</v>
      </c>
      <c r="O120" s="6">
        <f>-O114</f>
        <v>3.2490441700778714</v>
      </c>
      <c r="P120" s="6">
        <f>-P114</f>
        <v>2.0752008637684893</v>
      </c>
      <c r="BG120" t="s">
        <v>140</v>
      </c>
      <c r="BO120" t="s">
        <v>145</v>
      </c>
    </row>
    <row r="121" spans="1:70" x14ac:dyDescent="0.25">
      <c r="C121" s="6" t="s">
        <v>78</v>
      </c>
      <c r="D121" s="6"/>
      <c r="N121" s="6" t="s">
        <v>81</v>
      </c>
      <c r="O121" s="6" t="s">
        <v>79</v>
      </c>
      <c r="P121" s="6" t="s">
        <v>80</v>
      </c>
      <c r="BG121" t="s">
        <v>87</v>
      </c>
      <c r="BH121" t="s">
        <v>141</v>
      </c>
      <c r="BI121" t="s">
        <v>142</v>
      </c>
      <c r="BJ121" t="s">
        <v>143</v>
      </c>
      <c r="BO121" t="s">
        <v>87</v>
      </c>
      <c r="BP121" t="s">
        <v>144</v>
      </c>
      <c r="BQ121" t="s">
        <v>147</v>
      </c>
      <c r="BR121" t="s">
        <v>146</v>
      </c>
    </row>
    <row r="122" spans="1:70" x14ac:dyDescent="0.25">
      <c r="C122" s="6">
        <f>C116</f>
        <v>26.999860807558946</v>
      </c>
      <c r="D122" s="6"/>
      <c r="N122" s="6">
        <f>-N116</f>
        <v>28.467467753122939</v>
      </c>
      <c r="O122" s="6">
        <f>H111-F111</f>
        <v>50.419948467780898</v>
      </c>
      <c r="P122" s="6">
        <f>K111-I111</f>
        <v>62.112722971537224</v>
      </c>
      <c r="BG122">
        <v>0</v>
      </c>
      <c r="BH122">
        <f>-_1.2W1*2</f>
        <v>-12</v>
      </c>
      <c r="BI122">
        <f>0</f>
        <v>0</v>
      </c>
      <c r="BJ122">
        <f>-_1.2W1*2</f>
        <v>-12</v>
      </c>
      <c r="BN122" s="2" t="s">
        <v>71</v>
      </c>
      <c r="BO122">
        <v>0</v>
      </c>
      <c r="BP122">
        <f>0</f>
        <v>0</v>
      </c>
      <c r="BQ122">
        <f t="shared" ref="BQ122:BQ130" si="69">_1.2W1*BO122</f>
        <v>0</v>
      </c>
      <c r="BR122">
        <f t="shared" ref="BR122:BR130" si="70">-_1.2W1*BO122*BO122/2</f>
        <v>0</v>
      </c>
    </row>
    <row r="123" spans="1:70" x14ac:dyDescent="0.25">
      <c r="C123" s="6" t="s">
        <v>197</v>
      </c>
      <c r="D123" s="6"/>
      <c r="N123" s="6" t="s">
        <v>198</v>
      </c>
      <c r="O123" s="6"/>
      <c r="P123" s="6"/>
      <c r="BG123">
        <v>0.25</v>
      </c>
      <c r="BH123">
        <f>-_1.2W1*2</f>
        <v>-12</v>
      </c>
      <c r="BI123">
        <f>0</f>
        <v>0</v>
      </c>
      <c r="BJ123">
        <f>-_1.2W1*2</f>
        <v>-12</v>
      </c>
      <c r="BO123">
        <v>0.25</v>
      </c>
      <c r="BP123">
        <f>0</f>
        <v>0</v>
      </c>
      <c r="BQ123">
        <f t="shared" si="69"/>
        <v>1.5</v>
      </c>
      <c r="BR123">
        <f t="shared" si="70"/>
        <v>-0.1875</v>
      </c>
    </row>
    <row r="124" spans="1:70" x14ac:dyDescent="0.25">
      <c r="C124" s="6">
        <f>C109*-1</f>
        <v>-18.440865681299908</v>
      </c>
      <c r="D124" s="6" t="s">
        <v>82</v>
      </c>
      <c r="N124" s="6">
        <f>-N109</f>
        <v>-27.200804314071796</v>
      </c>
      <c r="O124" s="6"/>
      <c r="P124" s="6"/>
      <c r="BG124">
        <v>0.5</v>
      </c>
      <c r="BH124">
        <f>-_1.2W1*2</f>
        <v>-12</v>
      </c>
      <c r="BI124">
        <f>0</f>
        <v>0</v>
      </c>
      <c r="BJ124">
        <f>-_1.2W1*2</f>
        <v>-12</v>
      </c>
      <c r="BO124">
        <v>0.5</v>
      </c>
      <c r="BP124">
        <f>0</f>
        <v>0</v>
      </c>
      <c r="BQ124">
        <f t="shared" si="69"/>
        <v>3</v>
      </c>
      <c r="BR124">
        <f t="shared" si="70"/>
        <v>-0.75</v>
      </c>
    </row>
    <row r="125" spans="1:70" x14ac:dyDescent="0.25">
      <c r="BG125">
        <v>0.75</v>
      </c>
      <c r="BH125">
        <f>-_1.2W1*2</f>
        <v>-12</v>
      </c>
      <c r="BI125">
        <f>0</f>
        <v>0</v>
      </c>
      <c r="BJ125">
        <f>-_1.2W1*2</f>
        <v>-12</v>
      </c>
      <c r="BO125">
        <v>0.75</v>
      </c>
      <c r="BP125">
        <f>0</f>
        <v>0</v>
      </c>
      <c r="BQ125">
        <f t="shared" si="69"/>
        <v>4.5</v>
      </c>
      <c r="BR125">
        <f t="shared" si="70"/>
        <v>-1.6875</v>
      </c>
    </row>
    <row r="126" spans="1:70" x14ac:dyDescent="0.25">
      <c r="BG126">
        <v>1</v>
      </c>
      <c r="BH126">
        <f>-_1.2W1*2</f>
        <v>-12</v>
      </c>
      <c r="BI126">
        <f>0</f>
        <v>0</v>
      </c>
      <c r="BJ126">
        <f>-_1.2W1*2</f>
        <v>-12</v>
      </c>
      <c r="BO126">
        <v>1</v>
      </c>
      <c r="BP126">
        <f>0</f>
        <v>0</v>
      </c>
      <c r="BQ126">
        <f t="shared" si="69"/>
        <v>6</v>
      </c>
      <c r="BR126">
        <f t="shared" si="70"/>
        <v>-3</v>
      </c>
    </row>
    <row r="127" spans="1:70" x14ac:dyDescent="0.25">
      <c r="B127" s="6" t="s">
        <v>94</v>
      </c>
      <c r="L127" s="6" t="s">
        <v>96</v>
      </c>
      <c r="N127" s="6" t="s">
        <v>98</v>
      </c>
      <c r="BO127">
        <v>1.25</v>
      </c>
      <c r="BP127">
        <f>0</f>
        <v>0</v>
      </c>
      <c r="BQ127">
        <f t="shared" si="69"/>
        <v>7.5</v>
      </c>
      <c r="BR127">
        <f t="shared" si="70"/>
        <v>-4.6875</v>
      </c>
    </row>
    <row r="128" spans="1:70" x14ac:dyDescent="0.25">
      <c r="B128" s="6">
        <f>(C114*H1_/L_AB)+(C116*S1_/L_AB)</f>
        <v>-7.9481681329864138</v>
      </c>
      <c r="L128" s="6">
        <f>LW*H1_*H1_/L_GH/L_GH</f>
        <v>3.9999999999999996</v>
      </c>
      <c r="N128" s="6">
        <f>(N116*S3_/L_GH)+(N114*H1_/L_GH)</f>
        <v>-17.648053739135303</v>
      </c>
      <c r="BO128">
        <v>1.5</v>
      </c>
      <c r="BP128">
        <f>0</f>
        <v>0</v>
      </c>
      <c r="BQ128">
        <f t="shared" si="69"/>
        <v>9</v>
      </c>
      <c r="BR128">
        <f t="shared" si="70"/>
        <v>-6.75</v>
      </c>
    </row>
    <row r="129" spans="2:73" x14ac:dyDescent="0.25">
      <c r="B129" s="6" t="s">
        <v>95</v>
      </c>
      <c r="L129" s="6" t="s">
        <v>97</v>
      </c>
      <c r="N129" s="6" t="s">
        <v>99</v>
      </c>
      <c r="BO129">
        <v>1.75</v>
      </c>
      <c r="BP129">
        <f>0</f>
        <v>0</v>
      </c>
      <c r="BQ129">
        <f t="shared" si="69"/>
        <v>10.5</v>
      </c>
      <c r="BR129">
        <f t="shared" si="70"/>
        <v>-9.1875</v>
      </c>
    </row>
    <row r="130" spans="2:73" x14ac:dyDescent="0.25">
      <c r="B130" s="6">
        <f>(C114*S1_/L_AB)-(C116*H1_/L_AB)</f>
        <v>-39.71095210918849</v>
      </c>
      <c r="L130" s="6">
        <f>LW*H1_*S3_/L_GH/L_GH</f>
        <v>3.9999999999999996</v>
      </c>
      <c r="N130" s="6">
        <f>(N116*H1_/L_GH)-(N114*S3_/L_GH)</f>
        <v>-22.611025243749896</v>
      </c>
      <c r="BO130">
        <v>2</v>
      </c>
      <c r="BP130">
        <f>0</f>
        <v>0</v>
      </c>
      <c r="BQ130">
        <f t="shared" si="69"/>
        <v>12</v>
      </c>
      <c r="BR130">
        <f t="shared" si="70"/>
        <v>-12</v>
      </c>
    </row>
    <row r="133" spans="2:73" x14ac:dyDescent="0.25">
      <c r="Z133" s="1"/>
      <c r="AA133" s="1"/>
      <c r="AB133" s="1"/>
      <c r="AC133" s="1"/>
      <c r="AD133" s="1"/>
      <c r="AE133" s="1"/>
      <c r="AF133" s="1"/>
    </row>
    <row r="134" spans="2:73" x14ac:dyDescent="0.25">
      <c r="Z134" s="1"/>
      <c r="AA134" s="1" t="s">
        <v>43</v>
      </c>
      <c r="AB134" s="1"/>
      <c r="AC134" s="1"/>
      <c r="AE134" s="1"/>
      <c r="AF134" s="1"/>
      <c r="AH134" t="s">
        <v>45</v>
      </c>
      <c r="AO134" t="s">
        <v>47</v>
      </c>
      <c r="AV134" t="s">
        <v>48</v>
      </c>
      <c r="BC134" t="s">
        <v>50</v>
      </c>
      <c r="BJ134" t="s">
        <v>51</v>
      </c>
      <c r="BR134" t="s">
        <v>53</v>
      </c>
    </row>
    <row r="135" spans="2:73" x14ac:dyDescent="0.25">
      <c r="Z135" s="1"/>
      <c r="AA135" s="1" t="s">
        <v>87</v>
      </c>
      <c r="AB135" s="1" t="s">
        <v>128</v>
      </c>
      <c r="AC135" s="1" t="s">
        <v>129</v>
      </c>
      <c r="AD135" s="1" t="s">
        <v>130</v>
      </c>
      <c r="AE135" s="1"/>
      <c r="AF135" s="1"/>
      <c r="AH135" t="s">
        <v>87</v>
      </c>
      <c r="AI135" t="s">
        <v>131</v>
      </c>
      <c r="AJ135" t="s">
        <v>104</v>
      </c>
      <c r="AK135" t="s">
        <v>105</v>
      </c>
      <c r="AO135" t="s">
        <v>87</v>
      </c>
      <c r="AP135" t="s">
        <v>106</v>
      </c>
      <c r="AQ135" t="s">
        <v>107</v>
      </c>
      <c r="AR135" t="s">
        <v>114</v>
      </c>
      <c r="AV135" t="s">
        <v>87</v>
      </c>
      <c r="AW135" t="s">
        <v>132</v>
      </c>
      <c r="AX135" t="s">
        <v>110</v>
      </c>
      <c r="AY135" t="s">
        <v>133</v>
      </c>
      <c r="BC135" t="s">
        <v>87</v>
      </c>
      <c r="BD135" t="s">
        <v>112</v>
      </c>
      <c r="BE135" t="s">
        <v>113</v>
      </c>
      <c r="BF135" t="s">
        <v>115</v>
      </c>
      <c r="BJ135" t="s">
        <v>87</v>
      </c>
      <c r="BK135" t="s">
        <v>134</v>
      </c>
      <c r="BL135" t="s">
        <v>117</v>
      </c>
      <c r="BM135" t="s">
        <v>118</v>
      </c>
      <c r="BP135" t="s">
        <v>119</v>
      </c>
      <c r="BR135" t="s">
        <v>87</v>
      </c>
      <c r="BS135" t="s">
        <v>137</v>
      </c>
      <c r="BT135" t="s">
        <v>138</v>
      </c>
      <c r="BU135" t="s">
        <v>139</v>
      </c>
    </row>
    <row r="136" spans="2:73" x14ac:dyDescent="0.25">
      <c r="Z136" s="1">
        <v>0</v>
      </c>
      <c r="AA136" s="1">
        <v>0</v>
      </c>
      <c r="AB136" s="1">
        <f t="shared" ref="AB136:AB156" si="71">Axx</f>
        <v>-39.71095210918849</v>
      </c>
      <c r="AC136" s="1">
        <f t="shared" ref="AC136:AC156" si="72">Ayy</f>
        <v>-7.9481681329864138</v>
      </c>
      <c r="AD136" s="1">
        <f t="shared" ref="AD136:AD156" si="73">Mab+(Ayy*AA136)</f>
        <v>18.440865681299908</v>
      </c>
      <c r="AE136" s="1"/>
      <c r="AF136" s="1"/>
      <c r="AG136">
        <v>0</v>
      </c>
      <c r="AH136" s="1">
        <v>0</v>
      </c>
      <c r="AI136">
        <f t="shared" ref="AI136:AI156" si="74">Ax</f>
        <v>-30.185105771902226</v>
      </c>
      <c r="AJ136">
        <f t="shared" ref="AJ136:AJ156" si="75">Vbc-(AH136*_1.2W2)</f>
        <v>26.999860807558946</v>
      </c>
      <c r="AK136">
        <f>Mbc+(Vbc*AH136)-(0.5*AH136*AH136*_1.2W2)</f>
        <v>-21.299974983632168</v>
      </c>
      <c r="AN136">
        <v>0</v>
      </c>
      <c r="AO136" s="1">
        <v>0</v>
      </c>
      <c r="AP136">
        <f t="shared" ref="AP136:AP156" si="76">-Dy</f>
        <v>-50.419948467780898</v>
      </c>
      <c r="AQ136">
        <f t="shared" ref="AQ136:AQ156" si="77">Dx</f>
        <v>-3.2490441700778714</v>
      </c>
      <c r="AR136">
        <f t="shared" ref="AR136:AR156" si="78">AO136*Dx</f>
        <v>0</v>
      </c>
      <c r="AU136">
        <v>0</v>
      </c>
      <c r="AV136" s="1">
        <v>0</v>
      </c>
      <c r="AW136">
        <f t="shared" ref="AW136:AW156" si="79">Dx+Ax</f>
        <v>-33.434149941980095</v>
      </c>
      <c r="AX136">
        <f>Vce-(_1.2W2*AV136)</f>
        <v>29.419809275339841</v>
      </c>
      <c r="AY136">
        <f t="shared" ref="AY136:AY156" si="80">(-_1.2W2*AV136*AV136*0.5)+(Vce*AV136)+Mce</f>
        <v>-22.296708433707856</v>
      </c>
      <c r="BB136">
        <v>0</v>
      </c>
      <c r="BC136" s="1">
        <v>0</v>
      </c>
      <c r="BD136">
        <f t="shared" ref="BD136:BD156" si="81">-Fy</f>
        <v>-62.112722971537224</v>
      </c>
      <c r="BE136">
        <f t="shared" ref="BE136:BE156" si="82">Fx</f>
        <v>-2.0752008637684893</v>
      </c>
      <c r="BF136">
        <f t="shared" ref="BF136:BF156" si="83">BC136*Fx</f>
        <v>0</v>
      </c>
      <c r="BI136">
        <v>0</v>
      </c>
      <c r="BJ136" s="1">
        <v>0</v>
      </c>
      <c r="BK136">
        <f>Ax+Dx+Fx</f>
        <v>-35.509350805748582</v>
      </c>
      <c r="BL136">
        <f t="shared" ref="BL136:BL156" si="84">Veg-(BJ136*_1.2W2)</f>
        <v>31.532532246877061</v>
      </c>
      <c r="BM136">
        <f t="shared" ref="BM136:BM156" si="85">Meg+(Veg*BJ136)-(0.5*BJ136*BJ136*_1.2W2)</f>
        <v>-33.498465512082618</v>
      </c>
      <c r="BP136">
        <f t="shared" ref="BP136:BP156" si="86">L_GH-BR136</f>
        <v>5.6568542494923806</v>
      </c>
      <c r="BQ136">
        <v>0</v>
      </c>
      <c r="BR136">
        <f t="shared" ref="BR136:BR156" si="87">BQ136*L_GH/n</f>
        <v>0</v>
      </c>
      <c r="BS136">
        <f t="shared" ref="BS136:BS156" si="88">Hxx-LW_x*(BR136)</f>
        <v>-22.611025243749896</v>
      </c>
      <c r="BT136">
        <f t="shared" ref="BT136:BT156" si="89">Hyy+LW_y*BR136</f>
        <v>-17.648053739135303</v>
      </c>
      <c r="BU136">
        <f t="shared" ref="BU136:BU156" si="90">-Mhg-(Hyy*BR136)-(0.5*LW_y*BR136*BR136)</f>
        <v>-27.200804314071796</v>
      </c>
    </row>
    <row r="137" spans="2:73" x14ac:dyDescent="0.25">
      <c r="Z137" s="1">
        <v>1</v>
      </c>
      <c r="AA137" s="1">
        <f t="shared" ref="AA137:AA156" si="91">Z137*L_AB/n</f>
        <v>0.25</v>
      </c>
      <c r="AB137" s="1">
        <f t="shared" si="71"/>
        <v>-39.71095210918849</v>
      </c>
      <c r="AC137" s="1">
        <f t="shared" si="72"/>
        <v>-7.9481681329864138</v>
      </c>
      <c r="AD137" s="1">
        <f t="shared" si="73"/>
        <v>16.453823648053305</v>
      </c>
      <c r="AE137" s="1"/>
      <c r="AF137" s="1"/>
      <c r="AG137">
        <v>1</v>
      </c>
      <c r="AH137" s="1">
        <f t="shared" ref="AH137:AH156" si="92">AG137*L_BC/n</f>
        <v>0.2</v>
      </c>
      <c r="AI137">
        <f t="shared" si="74"/>
        <v>-30.185105771902226</v>
      </c>
      <c r="AJ137">
        <f t="shared" si="75"/>
        <v>24.599860807558947</v>
      </c>
      <c r="AK137">
        <f t="shared" ref="AK137:AK156" si="93">Mbc+(Vbc*AH137)-(0.5*AH137*AH137*_1.2W2)</f>
        <v>-16.140002822120376</v>
      </c>
      <c r="AN137">
        <v>1</v>
      </c>
      <c r="AO137" s="1">
        <f t="shared" ref="AO137:AO156" si="94">AN137*L_CD/n</f>
        <v>0.2</v>
      </c>
      <c r="AP137">
        <f t="shared" si="76"/>
        <v>-50.419948467780898</v>
      </c>
      <c r="AQ137">
        <f t="shared" si="77"/>
        <v>-3.2490441700778714</v>
      </c>
      <c r="AR137">
        <f t="shared" si="78"/>
        <v>-0.64980883401557432</v>
      </c>
      <c r="AU137">
        <v>1</v>
      </c>
      <c r="AV137" s="1">
        <f t="shared" ref="AV137:AV156" si="95">AU137*L_CE/n</f>
        <v>0.25</v>
      </c>
      <c r="AW137">
        <f t="shared" si="79"/>
        <v>-33.434149941980095</v>
      </c>
      <c r="AX137">
        <f>Vce-(_1.2W2*AV137)</f>
        <v>26.419809275339841</v>
      </c>
      <c r="AY137">
        <f t="shared" si="80"/>
        <v>-15.316756114872895</v>
      </c>
      <c r="BB137">
        <v>1</v>
      </c>
      <c r="BC137" s="1">
        <f t="shared" ref="BC137:BC156" si="96">BB137*L_EF/n</f>
        <v>0.2</v>
      </c>
      <c r="BD137">
        <f t="shared" si="81"/>
        <v>-62.112722971537224</v>
      </c>
      <c r="BE137">
        <f t="shared" si="82"/>
        <v>-2.0752008637684893</v>
      </c>
      <c r="BF137">
        <f t="shared" si="83"/>
        <v>-0.41504017275369787</v>
      </c>
      <c r="BI137">
        <v>1</v>
      </c>
      <c r="BJ137" s="1">
        <f t="shared" ref="BJ137:BJ156" si="97">BI137*L_EG/n</f>
        <v>0.2</v>
      </c>
      <c r="BK137">
        <f t="shared" ref="BK137:BK156" si="98">Ax+Dx+Fx</f>
        <v>-35.509350805748582</v>
      </c>
      <c r="BL137">
        <f t="shared" si="84"/>
        <v>29.132532246877062</v>
      </c>
      <c r="BM137">
        <f t="shared" si="85"/>
        <v>-27.431959062707204</v>
      </c>
      <c r="BP137">
        <f t="shared" si="86"/>
        <v>5.3740115370177612</v>
      </c>
      <c r="BQ137">
        <v>1</v>
      </c>
      <c r="BR137">
        <f t="shared" si="87"/>
        <v>0.28284271247461901</v>
      </c>
      <c r="BS137">
        <f t="shared" si="88"/>
        <v>-23.742396093648374</v>
      </c>
      <c r="BT137">
        <f t="shared" si="89"/>
        <v>-16.516682889236826</v>
      </c>
      <c r="BU137">
        <f t="shared" si="90"/>
        <v>-22.369180924596925</v>
      </c>
    </row>
    <row r="138" spans="2:73" x14ac:dyDescent="0.25">
      <c r="Z138" s="1">
        <v>2</v>
      </c>
      <c r="AA138" s="1">
        <f t="shared" si="91"/>
        <v>0.5</v>
      </c>
      <c r="AB138" s="1">
        <f t="shared" si="71"/>
        <v>-39.71095210918849</v>
      </c>
      <c r="AC138" s="1">
        <f t="shared" si="72"/>
        <v>-7.9481681329864138</v>
      </c>
      <c r="AD138" s="1">
        <f t="shared" si="73"/>
        <v>14.466781614806701</v>
      </c>
      <c r="AE138" s="1"/>
      <c r="AF138" s="1"/>
      <c r="AG138">
        <v>2</v>
      </c>
      <c r="AH138" s="1">
        <f t="shared" si="92"/>
        <v>0.4</v>
      </c>
      <c r="AI138">
        <f t="shared" si="74"/>
        <v>-30.185105771902226</v>
      </c>
      <c r="AJ138">
        <f t="shared" si="75"/>
        <v>22.199860807558945</v>
      </c>
      <c r="AK138">
        <f t="shared" si="93"/>
        <v>-11.46003066060859</v>
      </c>
      <c r="AN138">
        <v>2</v>
      </c>
      <c r="AO138" s="1">
        <f t="shared" si="94"/>
        <v>0.4</v>
      </c>
      <c r="AP138">
        <f t="shared" si="76"/>
        <v>-50.419948467780898</v>
      </c>
      <c r="AQ138">
        <f t="shared" si="77"/>
        <v>-3.2490441700778714</v>
      </c>
      <c r="AR138">
        <f t="shared" si="78"/>
        <v>-1.2996176680311486</v>
      </c>
      <c r="AU138">
        <v>2</v>
      </c>
      <c r="AV138" s="1">
        <f t="shared" si="95"/>
        <v>0.5</v>
      </c>
      <c r="AW138">
        <f t="shared" si="79"/>
        <v>-33.434149941980095</v>
      </c>
      <c r="AX138">
        <f t="shared" ref="AX138:AX156" si="99">Vce-(_1.2W2*AV138)</f>
        <v>23.419809275339841</v>
      </c>
      <c r="AY138">
        <f t="shared" si="80"/>
        <v>-9.0868037960379358</v>
      </c>
      <c r="BB138">
        <v>2</v>
      </c>
      <c r="BC138" s="1">
        <f t="shared" si="96"/>
        <v>0.4</v>
      </c>
      <c r="BD138">
        <f t="shared" si="81"/>
        <v>-62.112722971537224</v>
      </c>
      <c r="BE138">
        <f t="shared" si="82"/>
        <v>-2.0752008637684893</v>
      </c>
      <c r="BF138">
        <f t="shared" si="83"/>
        <v>-0.83008034550739573</v>
      </c>
      <c r="BI138">
        <v>2</v>
      </c>
      <c r="BJ138" s="1">
        <f t="shared" si="97"/>
        <v>0.4</v>
      </c>
      <c r="BK138">
        <f t="shared" si="98"/>
        <v>-35.509350805748582</v>
      </c>
      <c r="BL138">
        <f t="shared" si="84"/>
        <v>26.73253224687706</v>
      </c>
      <c r="BM138">
        <f t="shared" si="85"/>
        <v>-21.845452613331794</v>
      </c>
      <c r="BP138">
        <f t="shared" si="86"/>
        <v>5.0911688245431428</v>
      </c>
      <c r="BQ138">
        <v>2</v>
      </c>
      <c r="BR138">
        <f t="shared" si="87"/>
        <v>0.56568542494923801</v>
      </c>
      <c r="BS138">
        <f t="shared" si="88"/>
        <v>-24.873766943546848</v>
      </c>
      <c r="BT138">
        <f t="shared" si="89"/>
        <v>-15.385312039338352</v>
      </c>
      <c r="BU138">
        <f t="shared" si="90"/>
        <v>-17.857557535122055</v>
      </c>
    </row>
    <row r="139" spans="2:73" x14ac:dyDescent="0.25">
      <c r="Z139" s="1">
        <v>3</v>
      </c>
      <c r="AA139" s="1">
        <f t="shared" si="91"/>
        <v>0.75</v>
      </c>
      <c r="AB139" s="1">
        <f t="shared" si="71"/>
        <v>-39.71095210918849</v>
      </c>
      <c r="AC139" s="1">
        <f t="shared" si="72"/>
        <v>-7.9481681329864138</v>
      </c>
      <c r="AD139" s="1">
        <f t="shared" si="73"/>
        <v>12.479739581560096</v>
      </c>
      <c r="AE139" s="1"/>
      <c r="AF139" s="1"/>
      <c r="AG139">
        <v>3</v>
      </c>
      <c r="AH139" s="1">
        <f t="shared" si="92"/>
        <v>0.6</v>
      </c>
      <c r="AI139">
        <f t="shared" si="74"/>
        <v>-30.185105771902226</v>
      </c>
      <c r="AJ139">
        <f t="shared" si="75"/>
        <v>19.799860807558947</v>
      </c>
      <c r="AK139">
        <f t="shared" si="93"/>
        <v>-7.2600584990968002</v>
      </c>
      <c r="AN139">
        <v>3</v>
      </c>
      <c r="AO139" s="1">
        <f t="shared" si="94"/>
        <v>0.6</v>
      </c>
      <c r="AP139">
        <f t="shared" si="76"/>
        <v>-50.419948467780898</v>
      </c>
      <c r="AQ139">
        <f t="shared" si="77"/>
        <v>-3.2490441700778714</v>
      </c>
      <c r="AR139">
        <f t="shared" si="78"/>
        <v>-1.9494265020467227</v>
      </c>
      <c r="AU139">
        <v>3</v>
      </c>
      <c r="AV139" s="1">
        <f t="shared" si="95"/>
        <v>0.75</v>
      </c>
      <c r="AW139">
        <f t="shared" si="79"/>
        <v>-33.434149941980095</v>
      </c>
      <c r="AX139">
        <f t="shared" si="99"/>
        <v>20.419809275339841</v>
      </c>
      <c r="AY139">
        <f t="shared" si="80"/>
        <v>-3.6068514772029765</v>
      </c>
      <c r="BB139">
        <v>3</v>
      </c>
      <c r="BC139" s="1">
        <f t="shared" si="96"/>
        <v>0.6</v>
      </c>
      <c r="BD139">
        <f t="shared" si="81"/>
        <v>-62.112722971537224</v>
      </c>
      <c r="BE139">
        <f t="shared" si="82"/>
        <v>-2.0752008637684893</v>
      </c>
      <c r="BF139">
        <f t="shared" si="83"/>
        <v>-1.2451205182610936</v>
      </c>
      <c r="BI139">
        <v>3</v>
      </c>
      <c r="BJ139" s="1">
        <f t="shared" si="97"/>
        <v>0.6</v>
      </c>
      <c r="BK139">
        <f t="shared" si="98"/>
        <v>-35.509350805748582</v>
      </c>
      <c r="BL139">
        <f t="shared" si="84"/>
        <v>24.332532246877062</v>
      </c>
      <c r="BM139">
        <f t="shared" si="85"/>
        <v>-16.738946163956381</v>
      </c>
      <c r="BP139">
        <f t="shared" si="86"/>
        <v>4.8083261120685235</v>
      </c>
      <c r="BQ139">
        <v>3</v>
      </c>
      <c r="BR139">
        <f t="shared" si="87"/>
        <v>0.84852813742385713</v>
      </c>
      <c r="BS139">
        <f t="shared" si="88"/>
        <v>-26.005137793445325</v>
      </c>
      <c r="BT139">
        <f t="shared" si="89"/>
        <v>-14.253941189439875</v>
      </c>
      <c r="BU139">
        <f t="shared" si="90"/>
        <v>-13.66593414564718</v>
      </c>
    </row>
    <row r="140" spans="2:73" x14ac:dyDescent="0.25">
      <c r="Z140" s="1">
        <v>4</v>
      </c>
      <c r="AA140" s="1">
        <f t="shared" si="91"/>
        <v>1</v>
      </c>
      <c r="AB140" s="1">
        <f t="shared" si="71"/>
        <v>-39.71095210918849</v>
      </c>
      <c r="AC140" s="1">
        <f t="shared" si="72"/>
        <v>-7.9481681329864138</v>
      </c>
      <c r="AD140" s="1">
        <f t="shared" si="73"/>
        <v>10.492697548313494</v>
      </c>
      <c r="AE140" s="1"/>
      <c r="AF140" s="1"/>
      <c r="AG140">
        <v>4</v>
      </c>
      <c r="AH140" s="1">
        <f t="shared" si="92"/>
        <v>0.8</v>
      </c>
      <c r="AI140">
        <f t="shared" si="74"/>
        <v>-30.185105771902226</v>
      </c>
      <c r="AJ140">
        <f t="shared" si="75"/>
        <v>17.399860807558944</v>
      </c>
      <c r="AK140">
        <f t="shared" si="93"/>
        <v>-3.5400863375850102</v>
      </c>
      <c r="AN140">
        <v>4</v>
      </c>
      <c r="AO140" s="1">
        <f t="shared" si="94"/>
        <v>0.8</v>
      </c>
      <c r="AP140">
        <f t="shared" si="76"/>
        <v>-50.419948467780898</v>
      </c>
      <c r="AQ140">
        <f t="shared" si="77"/>
        <v>-3.2490441700778714</v>
      </c>
      <c r="AR140">
        <f t="shared" si="78"/>
        <v>-2.5992353360622973</v>
      </c>
      <c r="AU140">
        <v>4</v>
      </c>
      <c r="AV140" s="1">
        <f t="shared" si="95"/>
        <v>1</v>
      </c>
      <c r="AW140">
        <f t="shared" si="79"/>
        <v>-33.434149941980095</v>
      </c>
      <c r="AX140">
        <f t="shared" si="99"/>
        <v>17.419809275339841</v>
      </c>
      <c r="AY140">
        <f t="shared" si="80"/>
        <v>1.1231008416319845</v>
      </c>
      <c r="BB140">
        <v>4</v>
      </c>
      <c r="BC140" s="1">
        <f t="shared" si="96"/>
        <v>0.8</v>
      </c>
      <c r="BD140">
        <f t="shared" si="81"/>
        <v>-62.112722971537224</v>
      </c>
      <c r="BE140">
        <f t="shared" si="82"/>
        <v>-2.0752008637684893</v>
      </c>
      <c r="BF140">
        <f t="shared" si="83"/>
        <v>-1.6601606910147915</v>
      </c>
      <c r="BI140">
        <v>4</v>
      </c>
      <c r="BJ140" s="1">
        <f t="shared" si="97"/>
        <v>0.8</v>
      </c>
      <c r="BK140">
        <f t="shared" si="98"/>
        <v>-35.509350805748582</v>
      </c>
      <c r="BL140">
        <f t="shared" si="84"/>
        <v>21.932532246877059</v>
      </c>
      <c r="BM140">
        <f t="shared" si="85"/>
        <v>-12.112439714580969</v>
      </c>
      <c r="BP140">
        <f t="shared" si="86"/>
        <v>4.5254833995939041</v>
      </c>
      <c r="BQ140">
        <v>4</v>
      </c>
      <c r="BR140">
        <f t="shared" si="87"/>
        <v>1.131370849898476</v>
      </c>
      <c r="BS140">
        <f t="shared" si="88"/>
        <v>-27.136508643343799</v>
      </c>
      <c r="BT140">
        <f t="shared" si="89"/>
        <v>-13.122570339541401</v>
      </c>
      <c r="BU140">
        <f t="shared" si="90"/>
        <v>-9.7943107561723082</v>
      </c>
    </row>
    <row r="141" spans="2:73" x14ac:dyDescent="0.25">
      <c r="Z141" s="1">
        <v>5</v>
      </c>
      <c r="AA141" s="1">
        <f t="shared" si="91"/>
        <v>1.25</v>
      </c>
      <c r="AB141" s="1">
        <f t="shared" si="71"/>
        <v>-39.71095210918849</v>
      </c>
      <c r="AC141" s="1">
        <f t="shared" si="72"/>
        <v>-7.9481681329864138</v>
      </c>
      <c r="AD141" s="1">
        <f t="shared" si="73"/>
        <v>8.5056555150668913</v>
      </c>
      <c r="AE141" s="1"/>
      <c r="AF141" s="1"/>
      <c r="AG141">
        <v>5</v>
      </c>
      <c r="AH141" s="1">
        <f t="shared" si="92"/>
        <v>1</v>
      </c>
      <c r="AI141">
        <f t="shared" si="74"/>
        <v>-30.185105771902226</v>
      </c>
      <c r="AJ141">
        <f t="shared" si="75"/>
        <v>14.999860807558946</v>
      </c>
      <c r="AK141">
        <f t="shared" si="93"/>
        <v>-0.30011417607322244</v>
      </c>
      <c r="AN141">
        <v>5</v>
      </c>
      <c r="AO141" s="1">
        <f t="shared" si="94"/>
        <v>1</v>
      </c>
      <c r="AP141">
        <f t="shared" si="76"/>
        <v>-50.419948467780898</v>
      </c>
      <c r="AQ141">
        <f t="shared" si="77"/>
        <v>-3.2490441700778714</v>
      </c>
      <c r="AR141">
        <f t="shared" si="78"/>
        <v>-3.2490441700778714</v>
      </c>
      <c r="AU141">
        <v>5</v>
      </c>
      <c r="AV141" s="1">
        <f t="shared" si="95"/>
        <v>1.25</v>
      </c>
      <c r="AW141">
        <f t="shared" si="79"/>
        <v>-33.434149941980095</v>
      </c>
      <c r="AX141">
        <f t="shared" si="99"/>
        <v>14.419809275339841</v>
      </c>
      <c r="AY141">
        <f t="shared" si="80"/>
        <v>5.103053160466942</v>
      </c>
      <c r="BB141">
        <v>5</v>
      </c>
      <c r="BC141" s="1">
        <f t="shared" si="96"/>
        <v>1</v>
      </c>
      <c r="BD141">
        <f t="shared" si="81"/>
        <v>-62.112722971537224</v>
      </c>
      <c r="BE141">
        <f t="shared" si="82"/>
        <v>-2.0752008637684893</v>
      </c>
      <c r="BF141">
        <f t="shared" si="83"/>
        <v>-2.0752008637684893</v>
      </c>
      <c r="BI141">
        <v>5</v>
      </c>
      <c r="BJ141" s="1">
        <f t="shared" si="97"/>
        <v>1</v>
      </c>
      <c r="BK141">
        <f t="shared" si="98"/>
        <v>-35.509350805748582</v>
      </c>
      <c r="BL141">
        <f t="shared" si="84"/>
        <v>19.532532246877061</v>
      </c>
      <c r="BM141">
        <f t="shared" si="85"/>
        <v>-7.9659332652055568</v>
      </c>
      <c r="BP141">
        <f t="shared" si="86"/>
        <v>4.2426406871192857</v>
      </c>
      <c r="BQ141">
        <v>5</v>
      </c>
      <c r="BR141">
        <f t="shared" si="87"/>
        <v>1.4142135623730951</v>
      </c>
      <c r="BS141">
        <f t="shared" si="88"/>
        <v>-28.267879493242276</v>
      </c>
      <c r="BT141">
        <f t="shared" si="89"/>
        <v>-11.991199489642923</v>
      </c>
      <c r="BU141">
        <f t="shared" si="90"/>
        <v>-6.2426873666974352</v>
      </c>
    </row>
    <row r="142" spans="2:73" x14ac:dyDescent="0.25">
      <c r="Z142" s="1">
        <v>6</v>
      </c>
      <c r="AA142" s="1">
        <f t="shared" si="91"/>
        <v>1.5</v>
      </c>
      <c r="AB142" s="1">
        <f t="shared" si="71"/>
        <v>-39.71095210918849</v>
      </c>
      <c r="AC142" s="1">
        <f t="shared" si="72"/>
        <v>-7.9481681329864138</v>
      </c>
      <c r="AD142" s="1">
        <f t="shared" si="73"/>
        <v>6.518613481820287</v>
      </c>
      <c r="AE142" s="1"/>
      <c r="AF142" s="1"/>
      <c r="AG142">
        <v>6</v>
      </c>
      <c r="AH142" s="1">
        <f t="shared" si="92"/>
        <v>1.2</v>
      </c>
      <c r="AI142">
        <f t="shared" si="74"/>
        <v>-30.185105771902226</v>
      </c>
      <c r="AJ142">
        <f t="shared" si="75"/>
        <v>12.599860807558947</v>
      </c>
      <c r="AK142">
        <f t="shared" si="93"/>
        <v>2.4598579854385676</v>
      </c>
      <c r="AN142">
        <v>6</v>
      </c>
      <c r="AO142" s="1">
        <f t="shared" si="94"/>
        <v>1.2</v>
      </c>
      <c r="AP142">
        <f t="shared" si="76"/>
        <v>-50.419948467780898</v>
      </c>
      <c r="AQ142">
        <f t="shared" si="77"/>
        <v>-3.2490441700778714</v>
      </c>
      <c r="AR142">
        <f t="shared" si="78"/>
        <v>-3.8988530040934455</v>
      </c>
      <c r="AU142">
        <v>6</v>
      </c>
      <c r="AV142" s="1">
        <f t="shared" si="95"/>
        <v>1.5</v>
      </c>
      <c r="AW142">
        <f t="shared" si="79"/>
        <v>-33.434149941980095</v>
      </c>
      <c r="AX142">
        <f t="shared" si="99"/>
        <v>11.419809275339841</v>
      </c>
      <c r="AY142">
        <f t="shared" si="80"/>
        <v>8.3330054793019031</v>
      </c>
      <c r="BB142">
        <v>6</v>
      </c>
      <c r="BC142" s="1">
        <f t="shared" si="96"/>
        <v>1.2</v>
      </c>
      <c r="BD142">
        <f t="shared" si="81"/>
        <v>-62.112722971537224</v>
      </c>
      <c r="BE142">
        <f t="shared" si="82"/>
        <v>-2.0752008637684893</v>
      </c>
      <c r="BF142">
        <f t="shared" si="83"/>
        <v>-2.4902410365221872</v>
      </c>
      <c r="BI142">
        <v>6</v>
      </c>
      <c r="BJ142" s="1">
        <f t="shared" si="97"/>
        <v>1.2</v>
      </c>
      <c r="BK142">
        <f t="shared" si="98"/>
        <v>-35.509350805748582</v>
      </c>
      <c r="BL142">
        <f t="shared" si="84"/>
        <v>17.132532246877062</v>
      </c>
      <c r="BM142">
        <f t="shared" si="85"/>
        <v>-4.2994268158301452</v>
      </c>
      <c r="BP142">
        <f t="shared" si="86"/>
        <v>3.9597979746446663</v>
      </c>
      <c r="BQ142">
        <v>6</v>
      </c>
      <c r="BR142">
        <f t="shared" si="87"/>
        <v>1.6970562748477143</v>
      </c>
      <c r="BS142">
        <f t="shared" si="88"/>
        <v>-29.399250343140753</v>
      </c>
      <c r="BT142">
        <f t="shared" si="89"/>
        <v>-10.859828639744446</v>
      </c>
      <c r="BU142">
        <f t="shared" si="90"/>
        <v>-3.0110639772225651</v>
      </c>
    </row>
    <row r="143" spans="2:73" x14ac:dyDescent="0.25">
      <c r="Z143" s="1">
        <v>7</v>
      </c>
      <c r="AA143" s="1">
        <f t="shared" si="91"/>
        <v>1.75</v>
      </c>
      <c r="AB143" s="1">
        <f t="shared" si="71"/>
        <v>-39.71095210918849</v>
      </c>
      <c r="AC143" s="1">
        <f t="shared" si="72"/>
        <v>-7.9481681329864138</v>
      </c>
      <c r="AD143" s="1">
        <f t="shared" si="73"/>
        <v>4.5315714485736827</v>
      </c>
      <c r="AE143" s="1"/>
      <c r="AF143" s="1"/>
      <c r="AG143">
        <v>7</v>
      </c>
      <c r="AH143" s="1">
        <f t="shared" si="92"/>
        <v>1.4</v>
      </c>
      <c r="AI143">
        <f t="shared" si="74"/>
        <v>-30.185105771902226</v>
      </c>
      <c r="AJ143">
        <f t="shared" si="75"/>
        <v>10.199860807558949</v>
      </c>
      <c r="AK143">
        <f t="shared" si="93"/>
        <v>4.7398301469503537</v>
      </c>
      <c r="AN143">
        <v>7</v>
      </c>
      <c r="AO143" s="1">
        <f t="shared" si="94"/>
        <v>1.4</v>
      </c>
      <c r="AP143">
        <f t="shared" si="76"/>
        <v>-50.419948467780898</v>
      </c>
      <c r="AQ143">
        <f t="shared" si="77"/>
        <v>-3.2490441700778714</v>
      </c>
      <c r="AR143">
        <f t="shared" si="78"/>
        <v>-4.5486618381090196</v>
      </c>
      <c r="AU143">
        <v>7</v>
      </c>
      <c r="AV143" s="1">
        <f t="shared" si="95"/>
        <v>1.75</v>
      </c>
      <c r="AW143">
        <f t="shared" si="79"/>
        <v>-33.434149941980095</v>
      </c>
      <c r="AX143">
        <f t="shared" si="99"/>
        <v>8.4198092753398406</v>
      </c>
      <c r="AY143">
        <f t="shared" si="80"/>
        <v>10.812957798136864</v>
      </c>
      <c r="BB143">
        <v>7</v>
      </c>
      <c r="BC143" s="1">
        <f t="shared" si="96"/>
        <v>1.4</v>
      </c>
      <c r="BD143">
        <f t="shared" si="81"/>
        <v>-62.112722971537224</v>
      </c>
      <c r="BE143">
        <f t="shared" si="82"/>
        <v>-2.0752008637684893</v>
      </c>
      <c r="BF143">
        <f t="shared" si="83"/>
        <v>-2.9052812092758851</v>
      </c>
      <c r="BI143">
        <v>7</v>
      </c>
      <c r="BJ143" s="1">
        <f t="shared" si="97"/>
        <v>1.4</v>
      </c>
      <c r="BK143">
        <f t="shared" si="98"/>
        <v>-35.509350805748582</v>
      </c>
      <c r="BL143">
        <f t="shared" si="84"/>
        <v>14.732532246877064</v>
      </c>
      <c r="BM143">
        <f t="shared" si="85"/>
        <v>-1.1129203664547305</v>
      </c>
      <c r="BP143">
        <f t="shared" si="86"/>
        <v>3.6769552621700474</v>
      </c>
      <c r="BQ143">
        <v>7</v>
      </c>
      <c r="BR143">
        <f t="shared" si="87"/>
        <v>1.9798989873223332</v>
      </c>
      <c r="BS143">
        <f t="shared" si="88"/>
        <v>-30.530621193039227</v>
      </c>
      <c r="BT143">
        <f t="shared" si="89"/>
        <v>-9.7284577898459723</v>
      </c>
      <c r="BU143">
        <f t="shared" si="90"/>
        <v>-9.9440587747697151E-2</v>
      </c>
    </row>
    <row r="144" spans="2:73" x14ac:dyDescent="0.25">
      <c r="Z144" s="1">
        <v>8</v>
      </c>
      <c r="AA144" s="1">
        <f t="shared" si="91"/>
        <v>2</v>
      </c>
      <c r="AB144" s="1">
        <f t="shared" si="71"/>
        <v>-39.71095210918849</v>
      </c>
      <c r="AC144" s="1">
        <f t="shared" si="72"/>
        <v>-7.9481681329864138</v>
      </c>
      <c r="AD144" s="1">
        <f t="shared" si="73"/>
        <v>2.5445294153270801</v>
      </c>
      <c r="AE144" s="1"/>
      <c r="AF144" s="1"/>
      <c r="AG144">
        <v>8</v>
      </c>
      <c r="AH144" s="1">
        <f t="shared" si="92"/>
        <v>1.6</v>
      </c>
      <c r="AI144">
        <f t="shared" si="74"/>
        <v>-30.185105771902226</v>
      </c>
      <c r="AJ144">
        <f t="shared" si="75"/>
        <v>7.7998608075589431</v>
      </c>
      <c r="AK144">
        <f t="shared" si="93"/>
        <v>6.5398023084621464</v>
      </c>
      <c r="AN144">
        <v>8</v>
      </c>
      <c r="AO144" s="1">
        <f t="shared" si="94"/>
        <v>1.6</v>
      </c>
      <c r="AP144">
        <f t="shared" si="76"/>
        <v>-50.419948467780898</v>
      </c>
      <c r="AQ144">
        <f t="shared" si="77"/>
        <v>-3.2490441700778714</v>
      </c>
      <c r="AR144">
        <f t="shared" si="78"/>
        <v>-5.1984706721245946</v>
      </c>
      <c r="AU144">
        <v>8</v>
      </c>
      <c r="AV144" s="1">
        <f t="shared" si="95"/>
        <v>2</v>
      </c>
      <c r="AW144">
        <f t="shared" si="79"/>
        <v>-33.434149941980095</v>
      </c>
      <c r="AX144">
        <f t="shared" si="99"/>
        <v>5.4198092753398406</v>
      </c>
      <c r="AY144">
        <f t="shared" si="80"/>
        <v>12.542910116971825</v>
      </c>
      <c r="BB144">
        <v>8</v>
      </c>
      <c r="BC144" s="1">
        <f t="shared" si="96"/>
        <v>1.6</v>
      </c>
      <c r="BD144">
        <f t="shared" si="81"/>
        <v>-62.112722971537224</v>
      </c>
      <c r="BE144">
        <f t="shared" si="82"/>
        <v>-2.0752008637684893</v>
      </c>
      <c r="BF144">
        <f t="shared" si="83"/>
        <v>-3.3203213820295829</v>
      </c>
      <c r="BI144">
        <v>8</v>
      </c>
      <c r="BJ144" s="1">
        <f t="shared" si="97"/>
        <v>1.6</v>
      </c>
      <c r="BK144">
        <f t="shared" si="98"/>
        <v>-35.509350805748582</v>
      </c>
      <c r="BL144">
        <f t="shared" si="84"/>
        <v>12.332532246877058</v>
      </c>
      <c r="BM144">
        <f t="shared" si="85"/>
        <v>1.5935860829206767</v>
      </c>
      <c r="BP144">
        <f t="shared" si="86"/>
        <v>3.3941125496954285</v>
      </c>
      <c r="BQ144">
        <v>8</v>
      </c>
      <c r="BR144">
        <f t="shared" si="87"/>
        <v>2.2627416997969521</v>
      </c>
      <c r="BS144">
        <f t="shared" si="88"/>
        <v>-31.661992042937705</v>
      </c>
      <c r="BT144">
        <f t="shared" si="89"/>
        <v>-8.5970869399474967</v>
      </c>
      <c r="BU144">
        <f t="shared" si="90"/>
        <v>2.4921828017271785</v>
      </c>
    </row>
    <row r="145" spans="26:73" x14ac:dyDescent="0.25">
      <c r="Z145" s="1">
        <v>9</v>
      </c>
      <c r="AA145" s="1">
        <f t="shared" si="91"/>
        <v>2.25</v>
      </c>
      <c r="AB145" s="1">
        <f t="shared" si="71"/>
        <v>-39.71095210918849</v>
      </c>
      <c r="AC145" s="1">
        <f t="shared" si="72"/>
        <v>-7.9481681329864138</v>
      </c>
      <c r="AD145" s="1">
        <f t="shared" si="73"/>
        <v>0.55748738208047754</v>
      </c>
      <c r="AE145" s="1"/>
      <c r="AF145" s="1"/>
      <c r="AG145">
        <v>9</v>
      </c>
      <c r="AH145" s="1">
        <f t="shared" si="92"/>
        <v>1.8</v>
      </c>
      <c r="AI145">
        <f t="shared" si="74"/>
        <v>-30.185105771902226</v>
      </c>
      <c r="AJ145">
        <f t="shared" si="75"/>
        <v>5.3998608075589445</v>
      </c>
      <c r="AK145">
        <f t="shared" si="93"/>
        <v>7.8597744699739316</v>
      </c>
      <c r="AN145">
        <v>9</v>
      </c>
      <c r="AO145" s="1">
        <f t="shared" si="94"/>
        <v>1.8</v>
      </c>
      <c r="AP145">
        <f t="shared" si="76"/>
        <v>-50.419948467780898</v>
      </c>
      <c r="AQ145">
        <f t="shared" si="77"/>
        <v>-3.2490441700778714</v>
      </c>
      <c r="AR145">
        <f t="shared" si="78"/>
        <v>-5.8482795061401687</v>
      </c>
      <c r="AU145">
        <v>9</v>
      </c>
      <c r="AV145" s="1">
        <f t="shared" si="95"/>
        <v>2.25</v>
      </c>
      <c r="AW145">
        <f t="shared" si="79"/>
        <v>-33.434149941980095</v>
      </c>
      <c r="AX145">
        <f t="shared" si="99"/>
        <v>2.4198092753398406</v>
      </c>
      <c r="AY145">
        <f t="shared" si="80"/>
        <v>13.522862435806779</v>
      </c>
      <c r="BB145">
        <v>9</v>
      </c>
      <c r="BC145" s="1">
        <f t="shared" si="96"/>
        <v>1.8</v>
      </c>
      <c r="BD145">
        <f t="shared" si="81"/>
        <v>-62.112722971537224</v>
      </c>
      <c r="BE145">
        <f t="shared" si="82"/>
        <v>-2.0752008637684893</v>
      </c>
      <c r="BF145">
        <f t="shared" si="83"/>
        <v>-3.7353615547832808</v>
      </c>
      <c r="BI145">
        <v>9</v>
      </c>
      <c r="BJ145" s="1">
        <f t="shared" si="97"/>
        <v>1.8</v>
      </c>
      <c r="BK145">
        <f t="shared" si="98"/>
        <v>-35.509350805748582</v>
      </c>
      <c r="BL145">
        <f t="shared" si="84"/>
        <v>9.9325322468770594</v>
      </c>
      <c r="BM145">
        <f t="shared" si="85"/>
        <v>3.8200925322960906</v>
      </c>
      <c r="BP145">
        <f t="shared" si="86"/>
        <v>3.1112698372208092</v>
      </c>
      <c r="BQ145">
        <v>9</v>
      </c>
      <c r="BR145">
        <f t="shared" si="87"/>
        <v>2.5455844122715714</v>
      </c>
      <c r="BS145">
        <f t="shared" si="88"/>
        <v>-32.793362892836178</v>
      </c>
      <c r="BT145">
        <f t="shared" si="89"/>
        <v>-7.4657160900490194</v>
      </c>
      <c r="BU145">
        <f t="shared" si="90"/>
        <v>4.7638061912020504</v>
      </c>
    </row>
    <row r="146" spans="26:73" x14ac:dyDescent="0.25">
      <c r="Z146" s="1">
        <v>10</v>
      </c>
      <c r="AA146" s="1">
        <f t="shared" si="91"/>
        <v>2.5</v>
      </c>
      <c r="AB146" s="1">
        <f t="shared" si="71"/>
        <v>-39.71095210918849</v>
      </c>
      <c r="AC146" s="1">
        <f t="shared" si="72"/>
        <v>-7.9481681329864138</v>
      </c>
      <c r="AD146" s="1">
        <f t="shared" si="73"/>
        <v>-1.429554651166125</v>
      </c>
      <c r="AE146" s="1"/>
      <c r="AF146" s="1"/>
      <c r="AG146">
        <v>10</v>
      </c>
      <c r="AH146" s="1">
        <f t="shared" si="92"/>
        <v>2</v>
      </c>
      <c r="AI146">
        <f t="shared" si="74"/>
        <v>-30.185105771902226</v>
      </c>
      <c r="AJ146">
        <f t="shared" si="75"/>
        <v>2.9998608075589459</v>
      </c>
      <c r="AK146">
        <f t="shared" si="93"/>
        <v>8.6997466314857235</v>
      </c>
      <c r="AN146">
        <v>10</v>
      </c>
      <c r="AO146" s="1">
        <f t="shared" si="94"/>
        <v>2</v>
      </c>
      <c r="AP146">
        <f t="shared" si="76"/>
        <v>-50.419948467780898</v>
      </c>
      <c r="AQ146">
        <f t="shared" si="77"/>
        <v>-3.2490441700778714</v>
      </c>
      <c r="AR146">
        <f t="shared" si="78"/>
        <v>-6.4980883401557428</v>
      </c>
      <c r="AU146">
        <v>10</v>
      </c>
      <c r="AV146" s="1">
        <f t="shared" si="95"/>
        <v>2.5</v>
      </c>
      <c r="AW146">
        <f t="shared" si="79"/>
        <v>-33.434149941980095</v>
      </c>
      <c r="AX146">
        <f t="shared" si="99"/>
        <v>-0.58019072466015942</v>
      </c>
      <c r="AY146">
        <f t="shared" si="80"/>
        <v>13.75281475464174</v>
      </c>
      <c r="BB146">
        <v>10</v>
      </c>
      <c r="BC146" s="1">
        <f t="shared" si="96"/>
        <v>2</v>
      </c>
      <c r="BD146">
        <f t="shared" si="81"/>
        <v>-62.112722971537224</v>
      </c>
      <c r="BE146">
        <f t="shared" si="82"/>
        <v>-2.0752008637684893</v>
      </c>
      <c r="BF146">
        <f t="shared" si="83"/>
        <v>-4.1504017275369787</v>
      </c>
      <c r="BI146">
        <v>10</v>
      </c>
      <c r="BJ146" s="1">
        <f t="shared" si="97"/>
        <v>2</v>
      </c>
      <c r="BK146">
        <f t="shared" si="98"/>
        <v>-35.509350805748582</v>
      </c>
      <c r="BL146">
        <f t="shared" si="84"/>
        <v>7.5325322468770608</v>
      </c>
      <c r="BM146">
        <f t="shared" si="85"/>
        <v>5.566598981671504</v>
      </c>
      <c r="BP146">
        <f t="shared" si="86"/>
        <v>2.8284271247461903</v>
      </c>
      <c r="BQ146">
        <v>10</v>
      </c>
      <c r="BR146">
        <f t="shared" si="87"/>
        <v>2.8284271247461903</v>
      </c>
      <c r="BS146">
        <f t="shared" si="88"/>
        <v>-33.924733742734659</v>
      </c>
      <c r="BT146">
        <f t="shared" si="89"/>
        <v>-6.3343452401505438</v>
      </c>
      <c r="BU146">
        <f t="shared" si="90"/>
        <v>6.7154295806769255</v>
      </c>
    </row>
    <row r="147" spans="26:73" x14ac:dyDescent="0.25">
      <c r="Z147" s="1">
        <v>11</v>
      </c>
      <c r="AA147" s="1">
        <f t="shared" si="91"/>
        <v>2.75</v>
      </c>
      <c r="AB147" s="1">
        <f t="shared" si="71"/>
        <v>-39.71095210918849</v>
      </c>
      <c r="AC147" s="1">
        <f t="shared" si="72"/>
        <v>-7.9481681329864138</v>
      </c>
      <c r="AD147" s="1">
        <f t="shared" si="73"/>
        <v>-3.4165966844127311</v>
      </c>
      <c r="AE147" s="1"/>
      <c r="AF147" s="1"/>
      <c r="AG147">
        <v>11</v>
      </c>
      <c r="AH147" s="1">
        <f t="shared" si="92"/>
        <v>2.2000000000000002</v>
      </c>
      <c r="AI147">
        <f t="shared" si="74"/>
        <v>-30.185105771902226</v>
      </c>
      <c r="AJ147">
        <f t="shared" si="75"/>
        <v>0.59986080755894378</v>
      </c>
      <c r="AK147">
        <f t="shared" si="93"/>
        <v>9.0597187929975078</v>
      </c>
      <c r="AN147">
        <v>11</v>
      </c>
      <c r="AO147" s="1">
        <f t="shared" si="94"/>
        <v>2.2000000000000002</v>
      </c>
      <c r="AP147">
        <f t="shared" si="76"/>
        <v>-50.419948467780898</v>
      </c>
      <c r="AQ147">
        <f t="shared" si="77"/>
        <v>-3.2490441700778714</v>
      </c>
      <c r="AR147">
        <f t="shared" si="78"/>
        <v>-7.1478971741713178</v>
      </c>
      <c r="AU147">
        <v>11</v>
      </c>
      <c r="AV147" s="1">
        <f t="shared" si="95"/>
        <v>2.75</v>
      </c>
      <c r="AW147">
        <f t="shared" si="79"/>
        <v>-33.434149941980095</v>
      </c>
      <c r="AX147">
        <f t="shared" si="99"/>
        <v>-3.5801907246601594</v>
      </c>
      <c r="AY147">
        <f t="shared" si="80"/>
        <v>13.232767073476701</v>
      </c>
      <c r="BB147">
        <v>11</v>
      </c>
      <c r="BC147" s="1">
        <f t="shared" si="96"/>
        <v>2.2000000000000002</v>
      </c>
      <c r="BD147">
        <f t="shared" si="81"/>
        <v>-62.112722971537224</v>
      </c>
      <c r="BE147">
        <f t="shared" si="82"/>
        <v>-2.0752008637684893</v>
      </c>
      <c r="BF147">
        <f t="shared" si="83"/>
        <v>-4.5654419002906765</v>
      </c>
      <c r="BI147">
        <v>11</v>
      </c>
      <c r="BJ147" s="1">
        <f t="shared" si="97"/>
        <v>2.2000000000000002</v>
      </c>
      <c r="BK147">
        <f t="shared" si="98"/>
        <v>-35.509350805748582</v>
      </c>
      <c r="BL147">
        <f t="shared" si="84"/>
        <v>5.1325322468770587</v>
      </c>
      <c r="BM147">
        <f t="shared" si="85"/>
        <v>6.833105431046917</v>
      </c>
      <c r="BP147">
        <f t="shared" si="86"/>
        <v>2.5455844122715714</v>
      </c>
      <c r="BQ147">
        <v>11</v>
      </c>
      <c r="BR147">
        <f t="shared" si="87"/>
        <v>3.1112698372208092</v>
      </c>
      <c r="BS147">
        <f t="shared" si="88"/>
        <v>-35.056104592633133</v>
      </c>
      <c r="BT147">
        <f t="shared" si="89"/>
        <v>-5.2029743902520682</v>
      </c>
      <c r="BU147">
        <f t="shared" si="90"/>
        <v>8.3470529701517933</v>
      </c>
    </row>
    <row r="148" spans="26:73" x14ac:dyDescent="0.25">
      <c r="Z148" s="1">
        <v>12</v>
      </c>
      <c r="AA148" s="1">
        <f t="shared" si="91"/>
        <v>3</v>
      </c>
      <c r="AB148" s="1">
        <f t="shared" si="71"/>
        <v>-39.71095210918849</v>
      </c>
      <c r="AC148" s="1">
        <f t="shared" si="72"/>
        <v>-7.9481681329864138</v>
      </c>
      <c r="AD148" s="1">
        <f t="shared" si="73"/>
        <v>-5.4036387176593337</v>
      </c>
      <c r="AE148" s="1"/>
      <c r="AF148" s="1"/>
      <c r="AG148">
        <v>12</v>
      </c>
      <c r="AH148" s="1">
        <f t="shared" si="92"/>
        <v>2.4</v>
      </c>
      <c r="AI148">
        <f t="shared" si="74"/>
        <v>-30.185105771902226</v>
      </c>
      <c r="AJ148">
        <f t="shared" si="75"/>
        <v>-1.8001391924410513</v>
      </c>
      <c r="AK148">
        <f t="shared" si="93"/>
        <v>8.9396909545093024</v>
      </c>
      <c r="AN148">
        <v>12</v>
      </c>
      <c r="AO148" s="1">
        <f t="shared" si="94"/>
        <v>2.4</v>
      </c>
      <c r="AP148">
        <f t="shared" si="76"/>
        <v>-50.419948467780898</v>
      </c>
      <c r="AQ148">
        <f t="shared" si="77"/>
        <v>-3.2490441700778714</v>
      </c>
      <c r="AR148">
        <f t="shared" si="78"/>
        <v>-7.797706008186891</v>
      </c>
      <c r="AU148">
        <v>12</v>
      </c>
      <c r="AV148" s="1">
        <f t="shared" si="95"/>
        <v>3</v>
      </c>
      <c r="AW148">
        <f t="shared" si="79"/>
        <v>-33.434149941980095</v>
      </c>
      <c r="AX148">
        <f t="shared" si="99"/>
        <v>-6.5801907246601594</v>
      </c>
      <c r="AY148">
        <f t="shared" si="80"/>
        <v>11.962719392311662</v>
      </c>
      <c r="BB148">
        <v>12</v>
      </c>
      <c r="BC148" s="1">
        <f t="shared" si="96"/>
        <v>2.4</v>
      </c>
      <c r="BD148">
        <f t="shared" si="81"/>
        <v>-62.112722971537224</v>
      </c>
      <c r="BE148">
        <f t="shared" si="82"/>
        <v>-2.0752008637684893</v>
      </c>
      <c r="BF148">
        <f t="shared" si="83"/>
        <v>-4.9804820730443744</v>
      </c>
      <c r="BI148">
        <v>12</v>
      </c>
      <c r="BJ148" s="1">
        <f t="shared" si="97"/>
        <v>2.4</v>
      </c>
      <c r="BK148">
        <f t="shared" si="98"/>
        <v>-35.509350805748582</v>
      </c>
      <c r="BL148">
        <f t="shared" si="84"/>
        <v>2.7325322468770636</v>
      </c>
      <c r="BM148">
        <f t="shared" si="85"/>
        <v>7.6196118804223261</v>
      </c>
      <c r="BP148">
        <f t="shared" si="86"/>
        <v>2.2627416997969521</v>
      </c>
      <c r="BQ148">
        <v>12</v>
      </c>
      <c r="BR148">
        <f t="shared" si="87"/>
        <v>3.3941125496954285</v>
      </c>
      <c r="BS148">
        <f t="shared" si="88"/>
        <v>-36.187475442531607</v>
      </c>
      <c r="BT148">
        <f t="shared" si="89"/>
        <v>-4.0716035403535908</v>
      </c>
      <c r="BU148">
        <f t="shared" si="90"/>
        <v>9.6586763596266643</v>
      </c>
    </row>
    <row r="149" spans="26:73" x14ac:dyDescent="0.25">
      <c r="Z149" s="1">
        <v>13</v>
      </c>
      <c r="AA149" s="1">
        <f t="shared" si="91"/>
        <v>3.25</v>
      </c>
      <c r="AB149" s="1">
        <f t="shared" si="71"/>
        <v>-39.71095210918849</v>
      </c>
      <c r="AC149" s="1">
        <f t="shared" si="72"/>
        <v>-7.9481681329864138</v>
      </c>
      <c r="AD149" s="1">
        <f t="shared" si="73"/>
        <v>-7.3906807509059362</v>
      </c>
      <c r="AE149" s="1"/>
      <c r="AF149" s="1"/>
      <c r="AG149">
        <v>13</v>
      </c>
      <c r="AH149" s="1">
        <f t="shared" si="92"/>
        <v>2.6</v>
      </c>
      <c r="AI149">
        <f t="shared" si="74"/>
        <v>-30.185105771902226</v>
      </c>
      <c r="AJ149">
        <f t="shared" si="75"/>
        <v>-4.2001391924410569</v>
      </c>
      <c r="AK149">
        <f t="shared" si="93"/>
        <v>8.3396631160210859</v>
      </c>
      <c r="AN149">
        <v>13</v>
      </c>
      <c r="AO149" s="1">
        <f t="shared" si="94"/>
        <v>2.6</v>
      </c>
      <c r="AP149">
        <f t="shared" si="76"/>
        <v>-50.419948467780898</v>
      </c>
      <c r="AQ149">
        <f t="shared" si="77"/>
        <v>-3.2490441700778714</v>
      </c>
      <c r="AR149">
        <f t="shared" si="78"/>
        <v>-8.447514842202466</v>
      </c>
      <c r="AU149">
        <v>13</v>
      </c>
      <c r="AV149" s="1">
        <f t="shared" si="95"/>
        <v>3.25</v>
      </c>
      <c r="AW149">
        <f t="shared" si="79"/>
        <v>-33.434149941980095</v>
      </c>
      <c r="AX149">
        <f t="shared" si="99"/>
        <v>-9.5801907246601594</v>
      </c>
      <c r="AY149">
        <f t="shared" si="80"/>
        <v>9.9426717111466232</v>
      </c>
      <c r="BB149">
        <v>13</v>
      </c>
      <c r="BC149" s="1">
        <f t="shared" si="96"/>
        <v>2.6</v>
      </c>
      <c r="BD149">
        <f t="shared" si="81"/>
        <v>-62.112722971537224</v>
      </c>
      <c r="BE149">
        <f t="shared" si="82"/>
        <v>-2.0752008637684893</v>
      </c>
      <c r="BF149">
        <f t="shared" si="83"/>
        <v>-5.3955222457980723</v>
      </c>
      <c r="BI149">
        <v>13</v>
      </c>
      <c r="BJ149" s="1">
        <f t="shared" si="97"/>
        <v>2.6</v>
      </c>
      <c r="BK149">
        <f t="shared" si="98"/>
        <v>-35.509350805748582</v>
      </c>
      <c r="BL149">
        <f t="shared" si="84"/>
        <v>0.33253224687705796</v>
      </c>
      <c r="BM149">
        <f t="shared" si="85"/>
        <v>7.9261183297977453</v>
      </c>
      <c r="BP149">
        <f t="shared" si="86"/>
        <v>1.9798989873223327</v>
      </c>
      <c r="BQ149">
        <v>13</v>
      </c>
      <c r="BR149">
        <f t="shared" si="87"/>
        <v>3.6769552621700479</v>
      </c>
      <c r="BS149">
        <f t="shared" si="88"/>
        <v>-37.318846292430088</v>
      </c>
      <c r="BT149">
        <f t="shared" si="89"/>
        <v>-2.9402326904551135</v>
      </c>
      <c r="BU149">
        <f t="shared" si="90"/>
        <v>10.650299749101542</v>
      </c>
    </row>
    <row r="150" spans="26:73" x14ac:dyDescent="0.25">
      <c r="Z150" s="1">
        <v>14</v>
      </c>
      <c r="AA150" s="1">
        <f t="shared" si="91"/>
        <v>3.5</v>
      </c>
      <c r="AB150" s="1">
        <f t="shared" si="71"/>
        <v>-39.71095210918849</v>
      </c>
      <c r="AC150" s="1">
        <f t="shared" si="72"/>
        <v>-7.9481681329864138</v>
      </c>
      <c r="AD150" s="1">
        <f t="shared" si="73"/>
        <v>-9.3777227841525423</v>
      </c>
      <c r="AE150" s="1"/>
      <c r="AF150" s="1"/>
      <c r="AG150">
        <v>14</v>
      </c>
      <c r="AH150" s="1">
        <f t="shared" si="92"/>
        <v>2.8</v>
      </c>
      <c r="AI150">
        <f t="shared" si="74"/>
        <v>-30.185105771902226</v>
      </c>
      <c r="AJ150">
        <f t="shared" si="75"/>
        <v>-6.6001391924410484</v>
      </c>
      <c r="AK150">
        <f t="shared" si="93"/>
        <v>7.2596352775328796</v>
      </c>
      <c r="AN150">
        <v>14</v>
      </c>
      <c r="AO150" s="1">
        <f t="shared" si="94"/>
        <v>2.8</v>
      </c>
      <c r="AP150">
        <f t="shared" si="76"/>
        <v>-50.419948467780898</v>
      </c>
      <c r="AQ150">
        <f t="shared" si="77"/>
        <v>-3.2490441700778714</v>
      </c>
      <c r="AR150">
        <f t="shared" si="78"/>
        <v>-9.0973236762180392</v>
      </c>
      <c r="AU150">
        <v>14</v>
      </c>
      <c r="AV150" s="1">
        <f t="shared" si="95"/>
        <v>3.5</v>
      </c>
      <c r="AW150">
        <f t="shared" si="79"/>
        <v>-33.434149941980095</v>
      </c>
      <c r="AX150">
        <f t="shared" si="99"/>
        <v>-12.580190724660159</v>
      </c>
      <c r="AY150">
        <f t="shared" si="80"/>
        <v>7.1726240299815842</v>
      </c>
      <c r="BB150">
        <v>14</v>
      </c>
      <c r="BC150" s="1">
        <f t="shared" si="96"/>
        <v>2.8</v>
      </c>
      <c r="BD150">
        <f t="shared" si="81"/>
        <v>-62.112722971537224</v>
      </c>
      <c r="BE150">
        <f t="shared" si="82"/>
        <v>-2.0752008637684893</v>
      </c>
      <c r="BF150">
        <f t="shared" si="83"/>
        <v>-5.8105624185517701</v>
      </c>
      <c r="BI150">
        <v>14</v>
      </c>
      <c r="BJ150" s="1">
        <f t="shared" si="97"/>
        <v>2.8</v>
      </c>
      <c r="BK150">
        <f t="shared" si="98"/>
        <v>-35.509350805748582</v>
      </c>
      <c r="BL150">
        <f t="shared" si="84"/>
        <v>-2.0674677531229335</v>
      </c>
      <c r="BM150">
        <f t="shared" si="85"/>
        <v>7.7526247791731606</v>
      </c>
      <c r="BP150">
        <f t="shared" si="86"/>
        <v>1.6970562748477143</v>
      </c>
      <c r="BQ150">
        <v>14</v>
      </c>
      <c r="BR150">
        <f t="shared" si="87"/>
        <v>3.9597979746446663</v>
      </c>
      <c r="BS150">
        <f t="shared" si="88"/>
        <v>-38.450217142328562</v>
      </c>
      <c r="BT150">
        <f t="shared" si="89"/>
        <v>-1.8088618405566397</v>
      </c>
      <c r="BU150">
        <f t="shared" si="90"/>
        <v>11.321923138576402</v>
      </c>
    </row>
    <row r="151" spans="26:73" x14ac:dyDescent="0.25">
      <c r="Z151" s="1">
        <v>15</v>
      </c>
      <c r="AA151" s="1">
        <f t="shared" si="91"/>
        <v>3.75</v>
      </c>
      <c r="AB151" s="1">
        <f t="shared" si="71"/>
        <v>-39.71095210918849</v>
      </c>
      <c r="AC151" s="1">
        <f t="shared" si="72"/>
        <v>-7.9481681329864138</v>
      </c>
      <c r="AD151" s="1">
        <f t="shared" si="73"/>
        <v>-11.364764817399145</v>
      </c>
      <c r="AE151" s="1"/>
      <c r="AF151" s="1"/>
      <c r="AG151">
        <v>15</v>
      </c>
      <c r="AH151" s="1">
        <f t="shared" si="92"/>
        <v>3</v>
      </c>
      <c r="AI151">
        <f t="shared" si="74"/>
        <v>-30.185105771902226</v>
      </c>
      <c r="AJ151">
        <f t="shared" si="75"/>
        <v>-9.0001391924410541</v>
      </c>
      <c r="AK151">
        <f t="shared" si="93"/>
        <v>5.6996074390446694</v>
      </c>
      <c r="AN151">
        <v>15</v>
      </c>
      <c r="AO151" s="1">
        <f t="shared" si="94"/>
        <v>3</v>
      </c>
      <c r="AP151">
        <f t="shared" si="76"/>
        <v>-50.419948467780898</v>
      </c>
      <c r="AQ151">
        <f t="shared" si="77"/>
        <v>-3.2490441700778714</v>
      </c>
      <c r="AR151">
        <f t="shared" si="78"/>
        <v>-9.7471325102336142</v>
      </c>
      <c r="AU151">
        <v>15</v>
      </c>
      <c r="AV151" s="1">
        <f t="shared" si="95"/>
        <v>3.75</v>
      </c>
      <c r="AW151">
        <f t="shared" si="79"/>
        <v>-33.434149941980095</v>
      </c>
      <c r="AX151">
        <f t="shared" si="99"/>
        <v>-15.580190724660159</v>
      </c>
      <c r="AY151">
        <f t="shared" si="80"/>
        <v>3.6525763488165452</v>
      </c>
      <c r="BB151">
        <v>15</v>
      </c>
      <c r="BC151" s="1">
        <f t="shared" si="96"/>
        <v>3</v>
      </c>
      <c r="BD151">
        <f t="shared" si="81"/>
        <v>-62.112722971537224</v>
      </c>
      <c r="BE151">
        <f t="shared" si="82"/>
        <v>-2.0752008637684893</v>
      </c>
      <c r="BF151">
        <f t="shared" si="83"/>
        <v>-6.225602591305468</v>
      </c>
      <c r="BI151">
        <v>15</v>
      </c>
      <c r="BJ151" s="1">
        <f t="shared" si="97"/>
        <v>3</v>
      </c>
      <c r="BK151">
        <f t="shared" si="98"/>
        <v>-35.509350805748582</v>
      </c>
      <c r="BL151">
        <f t="shared" si="84"/>
        <v>-4.4674677531229392</v>
      </c>
      <c r="BM151">
        <f t="shared" si="85"/>
        <v>7.0991312285485719</v>
      </c>
      <c r="BP151">
        <f t="shared" si="86"/>
        <v>1.4142135623730949</v>
      </c>
      <c r="BQ151">
        <v>15</v>
      </c>
      <c r="BR151">
        <f t="shared" si="87"/>
        <v>4.2426406871192857</v>
      </c>
      <c r="BS151">
        <f t="shared" si="88"/>
        <v>-39.581587992227035</v>
      </c>
      <c r="BT151">
        <f t="shared" si="89"/>
        <v>-0.67749099065816409</v>
      </c>
      <c r="BU151">
        <f t="shared" si="90"/>
        <v>11.673546528051283</v>
      </c>
    </row>
    <row r="152" spans="26:73" x14ac:dyDescent="0.25">
      <c r="Z152" s="1">
        <v>16</v>
      </c>
      <c r="AA152" s="1">
        <f t="shared" si="91"/>
        <v>4</v>
      </c>
      <c r="AB152" s="1">
        <f t="shared" si="71"/>
        <v>-39.71095210918849</v>
      </c>
      <c r="AC152" s="1">
        <f t="shared" si="72"/>
        <v>-7.9481681329864138</v>
      </c>
      <c r="AD152" s="1">
        <f t="shared" si="73"/>
        <v>-13.351806850645747</v>
      </c>
      <c r="AE152" s="1"/>
      <c r="AF152" s="1"/>
      <c r="AG152">
        <v>16</v>
      </c>
      <c r="AH152" s="1">
        <f t="shared" si="92"/>
        <v>3.2</v>
      </c>
      <c r="AI152">
        <f t="shared" si="74"/>
        <v>-30.185105771902226</v>
      </c>
      <c r="AJ152">
        <f t="shared" si="75"/>
        <v>-11.40013919244106</v>
      </c>
      <c r="AK152">
        <f t="shared" si="93"/>
        <v>3.6595796005564551</v>
      </c>
      <c r="AN152">
        <v>16</v>
      </c>
      <c r="AO152" s="1">
        <f t="shared" si="94"/>
        <v>3.2</v>
      </c>
      <c r="AP152">
        <f t="shared" si="76"/>
        <v>-50.419948467780898</v>
      </c>
      <c r="AQ152">
        <f t="shared" si="77"/>
        <v>-3.2490441700778714</v>
      </c>
      <c r="AR152">
        <f t="shared" si="78"/>
        <v>-10.396941344249189</v>
      </c>
      <c r="AU152">
        <v>16</v>
      </c>
      <c r="AV152" s="1">
        <f t="shared" si="95"/>
        <v>4</v>
      </c>
      <c r="AW152">
        <f t="shared" si="79"/>
        <v>-33.434149941980095</v>
      </c>
      <c r="AX152">
        <f t="shared" si="99"/>
        <v>-18.580190724660159</v>
      </c>
      <c r="AY152">
        <f t="shared" si="80"/>
        <v>-0.61747133234849372</v>
      </c>
      <c r="BB152">
        <v>16</v>
      </c>
      <c r="BC152" s="1">
        <f t="shared" si="96"/>
        <v>3.2</v>
      </c>
      <c r="BD152">
        <f t="shared" si="81"/>
        <v>-62.112722971537224</v>
      </c>
      <c r="BE152">
        <f t="shared" si="82"/>
        <v>-2.0752008637684893</v>
      </c>
      <c r="BF152">
        <f t="shared" si="83"/>
        <v>-6.6406427640591659</v>
      </c>
      <c r="BI152">
        <v>16</v>
      </c>
      <c r="BJ152" s="1">
        <f t="shared" si="97"/>
        <v>3.2</v>
      </c>
      <c r="BK152">
        <f t="shared" si="98"/>
        <v>-35.509350805748582</v>
      </c>
      <c r="BL152">
        <f t="shared" si="84"/>
        <v>-6.8674677531229449</v>
      </c>
      <c r="BM152">
        <f t="shared" si="85"/>
        <v>5.965637677923965</v>
      </c>
      <c r="BP152">
        <f t="shared" si="86"/>
        <v>1.1313708498984765</v>
      </c>
      <c r="BQ152">
        <v>16</v>
      </c>
      <c r="BR152">
        <f t="shared" si="87"/>
        <v>4.5254833995939041</v>
      </c>
      <c r="BS152">
        <f t="shared" si="88"/>
        <v>-40.712958842125509</v>
      </c>
      <c r="BT152">
        <f t="shared" si="89"/>
        <v>0.45387985924030971</v>
      </c>
      <c r="BU152">
        <f t="shared" si="90"/>
        <v>11.705169917526156</v>
      </c>
    </row>
    <row r="153" spans="26:73" x14ac:dyDescent="0.25">
      <c r="Z153" s="1">
        <v>17</v>
      </c>
      <c r="AA153" s="1">
        <f t="shared" si="91"/>
        <v>4.25</v>
      </c>
      <c r="AB153" s="1">
        <f t="shared" si="71"/>
        <v>-39.71095210918849</v>
      </c>
      <c r="AC153" s="1">
        <f t="shared" si="72"/>
        <v>-7.9481681329864138</v>
      </c>
      <c r="AD153" s="1">
        <f t="shared" si="73"/>
        <v>-15.33884888389235</v>
      </c>
      <c r="AE153" s="1"/>
      <c r="AF153" s="1"/>
      <c r="AG153">
        <v>17</v>
      </c>
      <c r="AH153" s="1">
        <f t="shared" si="92"/>
        <v>3.4</v>
      </c>
      <c r="AI153">
        <f t="shared" si="74"/>
        <v>-30.185105771902226</v>
      </c>
      <c r="AJ153">
        <f t="shared" si="75"/>
        <v>-13.800139192441051</v>
      </c>
      <c r="AK153">
        <f t="shared" si="93"/>
        <v>1.1395517620682654</v>
      </c>
      <c r="AN153">
        <v>17</v>
      </c>
      <c r="AO153" s="1">
        <f t="shared" si="94"/>
        <v>3.4</v>
      </c>
      <c r="AP153">
        <f t="shared" si="76"/>
        <v>-50.419948467780898</v>
      </c>
      <c r="AQ153">
        <f t="shared" si="77"/>
        <v>-3.2490441700778714</v>
      </c>
      <c r="AR153">
        <f t="shared" si="78"/>
        <v>-11.046750178264762</v>
      </c>
      <c r="AU153">
        <v>17</v>
      </c>
      <c r="AV153" s="1">
        <f t="shared" si="95"/>
        <v>4.25</v>
      </c>
      <c r="AW153">
        <f t="shared" si="79"/>
        <v>-33.434149941980095</v>
      </c>
      <c r="AX153">
        <f t="shared" si="99"/>
        <v>-21.580190724660159</v>
      </c>
      <c r="AY153">
        <f t="shared" si="80"/>
        <v>-5.6375190135135327</v>
      </c>
      <c r="BB153">
        <v>17</v>
      </c>
      <c r="BC153" s="1">
        <f t="shared" si="96"/>
        <v>3.4</v>
      </c>
      <c r="BD153">
        <f t="shared" si="81"/>
        <v>-62.112722971537224</v>
      </c>
      <c r="BE153">
        <f t="shared" si="82"/>
        <v>-2.0752008637684893</v>
      </c>
      <c r="BF153">
        <f t="shared" si="83"/>
        <v>-7.0556829368128637</v>
      </c>
      <c r="BI153">
        <v>17</v>
      </c>
      <c r="BJ153" s="1">
        <f t="shared" si="97"/>
        <v>3.4</v>
      </c>
      <c r="BK153">
        <f t="shared" si="98"/>
        <v>-35.509350805748582</v>
      </c>
      <c r="BL153">
        <f t="shared" si="84"/>
        <v>-9.2674677531229364</v>
      </c>
      <c r="BM153">
        <f t="shared" si="85"/>
        <v>4.3521441272993968</v>
      </c>
      <c r="BP153">
        <f t="shared" si="86"/>
        <v>0.84852813742385713</v>
      </c>
      <c r="BQ153">
        <v>17</v>
      </c>
      <c r="BR153">
        <f t="shared" si="87"/>
        <v>4.8083261120685235</v>
      </c>
      <c r="BS153">
        <f t="shared" si="88"/>
        <v>-41.84432969202399</v>
      </c>
      <c r="BT153">
        <f t="shared" si="89"/>
        <v>1.5852507091387871</v>
      </c>
      <c r="BU153">
        <f t="shared" si="90"/>
        <v>11.416793307001036</v>
      </c>
    </row>
    <row r="154" spans="26:73" x14ac:dyDescent="0.25">
      <c r="Z154" s="1">
        <v>18</v>
      </c>
      <c r="AA154" s="1">
        <f t="shared" si="91"/>
        <v>4.5</v>
      </c>
      <c r="AB154" s="1">
        <f t="shared" si="71"/>
        <v>-39.71095210918849</v>
      </c>
      <c r="AC154" s="1">
        <f t="shared" si="72"/>
        <v>-7.9481681329864138</v>
      </c>
      <c r="AD154" s="1">
        <f t="shared" si="73"/>
        <v>-17.325890917138953</v>
      </c>
      <c r="AE154" s="1"/>
      <c r="AF154" s="1"/>
      <c r="AG154">
        <v>18</v>
      </c>
      <c r="AH154" s="1">
        <f t="shared" si="92"/>
        <v>3.6</v>
      </c>
      <c r="AI154">
        <f t="shared" si="74"/>
        <v>-30.185105771902226</v>
      </c>
      <c r="AJ154">
        <f t="shared" si="75"/>
        <v>-16.200139192441057</v>
      </c>
      <c r="AK154">
        <f t="shared" si="93"/>
        <v>-1.860476076419971</v>
      </c>
      <c r="AN154">
        <v>18</v>
      </c>
      <c r="AO154" s="1">
        <f t="shared" si="94"/>
        <v>3.6</v>
      </c>
      <c r="AP154">
        <f t="shared" si="76"/>
        <v>-50.419948467780898</v>
      </c>
      <c r="AQ154">
        <f t="shared" si="77"/>
        <v>-3.2490441700778714</v>
      </c>
      <c r="AR154">
        <f t="shared" si="78"/>
        <v>-11.696559012280337</v>
      </c>
      <c r="AU154">
        <v>18</v>
      </c>
      <c r="AV154" s="1">
        <f t="shared" si="95"/>
        <v>4.5</v>
      </c>
      <c r="AW154">
        <f t="shared" si="79"/>
        <v>-33.434149941980095</v>
      </c>
      <c r="AX154">
        <f t="shared" si="99"/>
        <v>-24.580190724660159</v>
      </c>
      <c r="AY154">
        <f t="shared" si="80"/>
        <v>-11.407566694678586</v>
      </c>
      <c r="BB154">
        <v>18</v>
      </c>
      <c r="BC154" s="1">
        <f t="shared" si="96"/>
        <v>3.6</v>
      </c>
      <c r="BD154">
        <f t="shared" si="81"/>
        <v>-62.112722971537224</v>
      </c>
      <c r="BE154">
        <f t="shared" si="82"/>
        <v>-2.0752008637684893</v>
      </c>
      <c r="BF154">
        <f t="shared" si="83"/>
        <v>-7.4707231095665616</v>
      </c>
      <c r="BI154">
        <v>18</v>
      </c>
      <c r="BJ154" s="1">
        <f t="shared" si="97"/>
        <v>3.6</v>
      </c>
      <c r="BK154">
        <f t="shared" si="98"/>
        <v>-35.509350805748582</v>
      </c>
      <c r="BL154">
        <f t="shared" si="84"/>
        <v>-11.667467753122942</v>
      </c>
      <c r="BM154">
        <f t="shared" si="85"/>
        <v>2.2586505766747962</v>
      </c>
      <c r="BP154">
        <f t="shared" si="86"/>
        <v>0.56568542494923779</v>
      </c>
      <c r="BQ154">
        <v>18</v>
      </c>
      <c r="BR154">
        <f t="shared" si="87"/>
        <v>5.0911688245431428</v>
      </c>
      <c r="BS154">
        <f t="shared" si="88"/>
        <v>-42.975700541922464</v>
      </c>
      <c r="BT154">
        <f t="shared" si="89"/>
        <v>2.7166215590372644</v>
      </c>
      <c r="BU154">
        <f t="shared" si="90"/>
        <v>10.808416696475895</v>
      </c>
    </row>
    <row r="155" spans="26:73" x14ac:dyDescent="0.25">
      <c r="Z155" s="1">
        <v>19</v>
      </c>
      <c r="AA155" s="1">
        <f t="shared" si="91"/>
        <v>4.75</v>
      </c>
      <c r="AB155" s="1">
        <f t="shared" si="71"/>
        <v>-39.71095210918849</v>
      </c>
      <c r="AC155" s="1">
        <f t="shared" si="72"/>
        <v>-7.9481681329864138</v>
      </c>
      <c r="AD155" s="1">
        <f t="shared" si="73"/>
        <v>-19.312932950385555</v>
      </c>
      <c r="AE155" s="1"/>
      <c r="AF155" s="1"/>
      <c r="AG155">
        <v>19</v>
      </c>
      <c r="AH155" s="1">
        <f t="shared" si="92"/>
        <v>3.8</v>
      </c>
      <c r="AI155">
        <f t="shared" si="74"/>
        <v>-30.185105771902226</v>
      </c>
      <c r="AJ155">
        <f t="shared" si="75"/>
        <v>-18.600139192441048</v>
      </c>
      <c r="AK155">
        <f t="shared" si="93"/>
        <v>-5.340503914908183</v>
      </c>
      <c r="AN155">
        <v>19</v>
      </c>
      <c r="AO155" s="1">
        <f t="shared" si="94"/>
        <v>3.8</v>
      </c>
      <c r="AP155">
        <f t="shared" si="76"/>
        <v>-50.419948467780898</v>
      </c>
      <c r="AQ155">
        <f t="shared" si="77"/>
        <v>-3.2490441700778714</v>
      </c>
      <c r="AR155">
        <f t="shared" si="78"/>
        <v>-12.346367846295911</v>
      </c>
      <c r="AU155">
        <v>19</v>
      </c>
      <c r="AV155" s="1">
        <f t="shared" si="95"/>
        <v>4.75</v>
      </c>
      <c r="AW155">
        <f t="shared" si="79"/>
        <v>-33.434149941980095</v>
      </c>
      <c r="AX155">
        <f t="shared" si="99"/>
        <v>-27.580190724660159</v>
      </c>
      <c r="AY155">
        <f t="shared" si="80"/>
        <v>-17.927614375843625</v>
      </c>
      <c r="BB155">
        <v>19</v>
      </c>
      <c r="BC155" s="1">
        <f t="shared" si="96"/>
        <v>3.8</v>
      </c>
      <c r="BD155">
        <f t="shared" si="81"/>
        <v>-62.112722971537224</v>
      </c>
      <c r="BE155">
        <f t="shared" si="82"/>
        <v>-2.0752008637684893</v>
      </c>
      <c r="BF155">
        <f t="shared" si="83"/>
        <v>-7.8857632823202595</v>
      </c>
      <c r="BI155">
        <v>19</v>
      </c>
      <c r="BJ155" s="1">
        <f t="shared" si="97"/>
        <v>3.8</v>
      </c>
      <c r="BK155">
        <f t="shared" si="98"/>
        <v>-35.509350805748582</v>
      </c>
      <c r="BL155">
        <f t="shared" si="84"/>
        <v>-14.067467753122934</v>
      </c>
      <c r="BM155">
        <f t="shared" si="85"/>
        <v>-0.31484297394979421</v>
      </c>
      <c r="BP155">
        <f t="shared" si="86"/>
        <v>0.28284271247461934</v>
      </c>
      <c r="BQ155">
        <v>19</v>
      </c>
      <c r="BR155">
        <f t="shared" si="87"/>
        <v>5.3740115370177612</v>
      </c>
      <c r="BS155">
        <f t="shared" si="88"/>
        <v>-44.107071391820938</v>
      </c>
      <c r="BT155">
        <f t="shared" si="89"/>
        <v>3.8479924089357382</v>
      </c>
      <c r="BU155">
        <f t="shared" si="90"/>
        <v>9.8800400859507818</v>
      </c>
    </row>
    <row r="156" spans="26:73" x14ac:dyDescent="0.25">
      <c r="Z156" s="1">
        <v>20</v>
      </c>
      <c r="AA156" s="1">
        <f t="shared" si="91"/>
        <v>5</v>
      </c>
      <c r="AB156" s="1">
        <f t="shared" si="71"/>
        <v>-39.71095210918849</v>
      </c>
      <c r="AC156" s="1">
        <f t="shared" si="72"/>
        <v>-7.9481681329864138</v>
      </c>
      <c r="AD156" s="1">
        <f t="shared" si="73"/>
        <v>-21.299974983632158</v>
      </c>
      <c r="AE156" s="1"/>
      <c r="AF156" s="1"/>
      <c r="AG156">
        <v>20</v>
      </c>
      <c r="AH156" s="1">
        <f t="shared" si="92"/>
        <v>4</v>
      </c>
      <c r="AI156">
        <f t="shared" si="74"/>
        <v>-30.185105771902226</v>
      </c>
      <c r="AJ156">
        <f t="shared" si="75"/>
        <v>-21.000139192441054</v>
      </c>
      <c r="AK156">
        <f t="shared" si="93"/>
        <v>-9.3005317533963847</v>
      </c>
      <c r="AN156">
        <v>20</v>
      </c>
      <c r="AO156" s="1">
        <f t="shared" si="94"/>
        <v>4</v>
      </c>
      <c r="AP156">
        <f t="shared" si="76"/>
        <v>-50.419948467780898</v>
      </c>
      <c r="AQ156">
        <f t="shared" si="77"/>
        <v>-3.2490441700778714</v>
      </c>
      <c r="AR156">
        <f t="shared" si="78"/>
        <v>-12.996176680311486</v>
      </c>
      <c r="AU156">
        <v>20</v>
      </c>
      <c r="AV156" s="1">
        <f t="shared" si="95"/>
        <v>5</v>
      </c>
      <c r="AW156">
        <f t="shared" si="79"/>
        <v>-33.434149941980095</v>
      </c>
      <c r="AX156">
        <f t="shared" si="99"/>
        <v>-30.580190724660159</v>
      </c>
      <c r="AY156">
        <f t="shared" si="80"/>
        <v>-25.197662057008664</v>
      </c>
      <c r="BB156">
        <v>20</v>
      </c>
      <c r="BC156" s="1">
        <f t="shared" si="96"/>
        <v>4</v>
      </c>
      <c r="BD156">
        <f t="shared" si="81"/>
        <v>-62.112722971537224</v>
      </c>
      <c r="BE156">
        <f t="shared" si="82"/>
        <v>-2.0752008637684893</v>
      </c>
      <c r="BF156">
        <f t="shared" si="83"/>
        <v>-8.3008034550739573</v>
      </c>
      <c r="BI156">
        <v>20</v>
      </c>
      <c r="BJ156" s="1">
        <f t="shared" si="97"/>
        <v>4</v>
      </c>
      <c r="BK156">
        <f t="shared" si="98"/>
        <v>-35.509350805748582</v>
      </c>
      <c r="BL156">
        <f t="shared" si="84"/>
        <v>-16.467467753122939</v>
      </c>
      <c r="BM156">
        <f t="shared" si="85"/>
        <v>-3.3683365245743744</v>
      </c>
      <c r="BP156">
        <f t="shared" si="86"/>
        <v>0</v>
      </c>
      <c r="BQ156">
        <v>20</v>
      </c>
      <c r="BR156">
        <f t="shared" si="87"/>
        <v>5.6568542494923806</v>
      </c>
      <c r="BS156">
        <f t="shared" si="88"/>
        <v>-45.238442241719412</v>
      </c>
      <c r="BT156">
        <f t="shared" si="89"/>
        <v>4.9793632588342156</v>
      </c>
      <c r="BU156">
        <f t="shared" si="90"/>
        <v>8.631663475425654</v>
      </c>
    </row>
    <row r="157" spans="26:73" x14ac:dyDescent="0.25">
      <c r="Z157" s="1"/>
      <c r="AA15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5"/>
  <sheetViews>
    <sheetView topLeftCell="A180" zoomScale="70" zoomScaleNormal="70" workbookViewId="0">
      <selection activeCell="K214" sqref="K214"/>
    </sheetView>
  </sheetViews>
  <sheetFormatPr defaultRowHeight="15" x14ac:dyDescent="0.25"/>
  <cols>
    <col min="1" max="1" width="20.85546875" customWidth="1"/>
    <col min="2" max="2" width="20" customWidth="1"/>
    <col min="3" max="3" width="13.28515625" customWidth="1"/>
    <col min="4" max="4" width="9.85546875" customWidth="1"/>
    <col min="5" max="6" width="9.7109375" customWidth="1"/>
    <col min="7" max="7" width="7.85546875" customWidth="1"/>
    <col min="8" max="8" width="7.42578125" customWidth="1"/>
    <col min="12" max="13" width="12" bestFit="1" customWidth="1"/>
    <col min="27" max="27" width="9.140625" customWidth="1"/>
    <col min="28" max="28" width="17.140625" customWidth="1"/>
    <col min="29" max="29" width="19.140625" customWidth="1"/>
    <col min="30" max="30" width="31.7109375" customWidth="1"/>
    <col min="35" max="35" width="13.85546875" customWidth="1"/>
    <col min="36" max="36" width="17.85546875" customWidth="1"/>
    <col min="37" max="37" width="31.42578125" customWidth="1"/>
    <col min="44" max="44" width="10.28515625" customWidth="1"/>
    <col min="48" max="48" width="9.140625" customWidth="1"/>
    <col min="49" max="49" width="20.85546875" customWidth="1"/>
    <col min="50" max="50" width="18.140625" customWidth="1"/>
    <col min="51" max="51" width="31" customWidth="1"/>
    <col min="62" max="62" width="9.42578125" customWidth="1"/>
    <col min="63" max="63" width="23.42578125" customWidth="1"/>
    <col min="64" max="64" width="34.42578125" customWidth="1"/>
    <col min="65" max="65" width="31.7109375" customWidth="1"/>
    <col min="69" max="69" width="11" customWidth="1"/>
    <col min="70" max="70" width="11.5703125" customWidth="1"/>
    <col min="71" max="71" width="12" customWidth="1"/>
    <col min="72" max="72" width="11" customWidth="1"/>
    <col min="73" max="73" width="17.7109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 t="s">
        <v>1</v>
      </c>
      <c r="C2" s="1"/>
      <c r="D2" s="1" t="s">
        <v>0</v>
      </c>
      <c r="E2" s="1" t="s">
        <v>10</v>
      </c>
      <c r="F2" s="1" t="s">
        <v>11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>
        <f>LW</f>
        <v>8</v>
      </c>
      <c r="E3" s="1">
        <f>W1_</f>
        <v>5</v>
      </c>
      <c r="F3" s="1">
        <f>W2_</f>
        <v>10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 t="s">
        <v>17</v>
      </c>
      <c r="E4" s="1" t="s">
        <v>17</v>
      </c>
      <c r="F4" s="1" t="s">
        <v>17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  <c r="I7" s="1" t="s">
        <v>26</v>
      </c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>
        <f>SQRT((S1_*S1_)+(H1_*H1_))</f>
        <v>5</v>
      </c>
      <c r="D8" s="1">
        <v>4</v>
      </c>
      <c r="E8" s="1">
        <f xml:space="preserve"> H1_</f>
        <v>4</v>
      </c>
      <c r="F8" s="1">
        <f xml:space="preserve"> S2_</f>
        <v>5</v>
      </c>
      <c r="G8" s="1">
        <f xml:space="preserve"> H1_</f>
        <v>4</v>
      </c>
      <c r="H8" s="1">
        <v>4</v>
      </c>
      <c r="I8" s="1">
        <f>SQRT((S3_*S3_)+(H1_*H1_))</f>
        <v>5.6568542494923806</v>
      </c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 t="s">
        <v>13</v>
      </c>
      <c r="D9" s="1" t="s">
        <v>13</v>
      </c>
      <c r="E9" s="1" t="s">
        <v>13</v>
      </c>
      <c r="F9" s="1" t="s">
        <v>13</v>
      </c>
      <c r="G9" s="1" t="s">
        <v>13</v>
      </c>
      <c r="H9" s="1" t="s">
        <v>13</v>
      </c>
      <c r="I9" s="1" t="s">
        <v>13</v>
      </c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 t="s">
        <v>37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" t="s">
        <v>59</v>
      </c>
      <c r="M14" s="1">
        <f>E3*2</f>
        <v>10</v>
      </c>
      <c r="N14" s="1"/>
      <c r="O14" s="1"/>
      <c r="P14" s="1"/>
      <c r="Q14" s="1"/>
    </row>
    <row r="15" spans="1:17" x14ac:dyDescent="0.25">
      <c r="A15" s="1"/>
      <c r="B15" s="1" t="s">
        <v>28</v>
      </c>
      <c r="C15" s="1" t="s">
        <v>29</v>
      </c>
      <c r="D15" s="1" t="s">
        <v>30</v>
      </c>
      <c r="E15" s="1" t="s">
        <v>30</v>
      </c>
      <c r="F15" s="1" t="s">
        <v>31</v>
      </c>
      <c r="G15" s="1" t="s">
        <v>31</v>
      </c>
      <c r="H15" s="1" t="s">
        <v>31</v>
      </c>
      <c r="I15" s="1" t="s">
        <v>33</v>
      </c>
      <c r="J15" s="1" t="s">
        <v>33</v>
      </c>
      <c r="K15" s="1" t="s">
        <v>33</v>
      </c>
      <c r="L15" s="1" t="s">
        <v>35</v>
      </c>
      <c r="M15" s="1" t="s">
        <v>35</v>
      </c>
      <c r="N15" s="1" t="s">
        <v>36</v>
      </c>
      <c r="O15" s="1" t="s">
        <v>32</v>
      </c>
      <c r="P15" s="1" t="s">
        <v>34</v>
      </c>
      <c r="Q15" s="1"/>
    </row>
    <row r="16" spans="1:17" x14ac:dyDescent="0.25">
      <c r="A16" s="1"/>
      <c r="B16" s="1" t="s">
        <v>39</v>
      </c>
      <c r="C16" s="1" t="s">
        <v>43</v>
      </c>
      <c r="D16" s="1" t="s">
        <v>44</v>
      </c>
      <c r="E16" s="1" t="s">
        <v>45</v>
      </c>
      <c r="F16" s="1" t="s">
        <v>46</v>
      </c>
      <c r="G16" s="1" t="s">
        <v>47</v>
      </c>
      <c r="H16" s="1" t="s">
        <v>48</v>
      </c>
      <c r="I16" s="1" t="s">
        <v>49</v>
      </c>
      <c r="J16" s="1" t="s">
        <v>50</v>
      </c>
      <c r="K16" s="1" t="s">
        <v>51</v>
      </c>
      <c r="L16" s="1" t="s">
        <v>52</v>
      </c>
      <c r="M16" s="1" t="s">
        <v>53</v>
      </c>
      <c r="N16" s="1" t="s">
        <v>54</v>
      </c>
      <c r="O16" s="1" t="s">
        <v>55</v>
      </c>
      <c r="P16" s="1" t="s">
        <v>56</v>
      </c>
      <c r="Q16" s="1"/>
    </row>
    <row r="17" spans="1:17" x14ac:dyDescent="0.25">
      <c r="A17" s="1"/>
      <c r="B17" s="1" t="s">
        <v>57</v>
      </c>
      <c r="C17" s="1">
        <f xml:space="preserve"> 4 * EI/L_AB</f>
        <v>14400</v>
      </c>
      <c r="D17" s="1">
        <f xml:space="preserve"> 4 * EI/L_AB</f>
        <v>14400</v>
      </c>
      <c r="E17" s="1">
        <f xml:space="preserve"> 4 * EI/L_BC</f>
        <v>18000</v>
      </c>
      <c r="F17" s="1">
        <f xml:space="preserve"> 4 * EI/L_BC</f>
        <v>18000</v>
      </c>
      <c r="G17" s="1">
        <f>3* EI / L_CD</f>
        <v>13500</v>
      </c>
      <c r="H17" s="1">
        <f>4*EI/L_CE</f>
        <v>14400</v>
      </c>
      <c r="I17" s="1">
        <f>4*EI/L_CE</f>
        <v>14400</v>
      </c>
      <c r="J17" s="1">
        <f>3*EI/L_EF</f>
        <v>13500</v>
      </c>
      <c r="K17" s="1">
        <f>4*EI/L_EG</f>
        <v>18000</v>
      </c>
      <c r="L17" s="1">
        <f>4*EI/L_EG</f>
        <v>18000</v>
      </c>
      <c r="M17" s="1">
        <f>4*EI/L_GH</f>
        <v>12727.922061357855</v>
      </c>
      <c r="N17" s="1">
        <f>4*EI/L_GH</f>
        <v>12727.922061357855</v>
      </c>
      <c r="O17" s="1">
        <f>3* EI / L_CD</f>
        <v>13500</v>
      </c>
      <c r="P17" s="1">
        <f>3*EI/L_EF</f>
        <v>13500</v>
      </c>
      <c r="Q17" s="1"/>
    </row>
    <row r="18" spans="1:17" x14ac:dyDescent="0.25">
      <c r="A18" s="1"/>
      <c r="B18" s="1" t="s">
        <v>40</v>
      </c>
      <c r="C18" s="1">
        <v>0</v>
      </c>
      <c r="D18" s="1">
        <f>D17/SUM(D17:E17)</f>
        <v>0.44444444444444442</v>
      </c>
      <c r="E18" s="1">
        <f>E17/SUM(D17:E17)</f>
        <v>0.55555555555555558</v>
      </c>
      <c r="F18" s="1">
        <f>F17/SUM(F17:H17)</f>
        <v>0.39215686274509803</v>
      </c>
      <c r="G18" s="1">
        <f>G17/SUM(F17:H17)</f>
        <v>0.29411764705882354</v>
      </c>
      <c r="H18" s="1">
        <f>H17/SUM(F17:H17)</f>
        <v>0.31372549019607843</v>
      </c>
      <c r="I18" s="1">
        <f>I17/SUM(I17:K17)</f>
        <v>0.31372549019607843</v>
      </c>
      <c r="J18" s="1">
        <f>J17/SUM(I17:K17)</f>
        <v>0.29411764705882354</v>
      </c>
      <c r="K18" s="1">
        <f>K17/SUM(I17:K17)</f>
        <v>0.39215686274509803</v>
      </c>
      <c r="L18" s="1">
        <f>L17/SUM(L17:M17)</f>
        <v>0.58578643762690497</v>
      </c>
      <c r="M18" s="1">
        <f>M17/SUM(L17:M17)</f>
        <v>0.41421356237309503</v>
      </c>
      <c r="N18" s="1">
        <v>0</v>
      </c>
      <c r="O18" s="1">
        <v>1</v>
      </c>
      <c r="P18" s="1">
        <v>1</v>
      </c>
      <c r="Q18" s="1"/>
    </row>
    <row r="19" spans="1:17" x14ac:dyDescent="0.25">
      <c r="A19" s="1"/>
      <c r="B19" s="1" t="s">
        <v>38</v>
      </c>
      <c r="C19" s="1">
        <f>-D3*H1_*H1_/12</f>
        <v>-10.666666666666666</v>
      </c>
      <c r="D19" s="1">
        <f>D3*H1_*H1_/12</f>
        <v>10.666666666666666</v>
      </c>
      <c r="E19" s="1">
        <f>-F3*L_BC*L_BC/12</f>
        <v>-13.333333333333334</v>
      </c>
      <c r="F19" s="1">
        <f>F3*L_BC*L_BC/12</f>
        <v>13.333333333333334</v>
      </c>
      <c r="G19" s="1">
        <v>0</v>
      </c>
      <c r="H19" s="1">
        <f>-F3*L_CE*L_CE/12</f>
        <v>-20.833333333333332</v>
      </c>
      <c r="I19" s="1">
        <f>F3*L_CE*L_CE/12</f>
        <v>20.833333333333332</v>
      </c>
      <c r="J19" s="1">
        <v>0</v>
      </c>
      <c r="K19" s="1">
        <f>-F3*L_EG*L_EG/12</f>
        <v>-13.333333333333334</v>
      </c>
      <c r="L19" s="1">
        <f>F3*L_EG*L_EG/12</f>
        <v>13.333333333333334</v>
      </c>
      <c r="M19" s="1">
        <v>0</v>
      </c>
      <c r="N19" s="1">
        <v>0</v>
      </c>
      <c r="O19" s="1">
        <v>0</v>
      </c>
      <c r="P19" s="1">
        <v>0</v>
      </c>
      <c r="Q19" s="1"/>
    </row>
    <row r="20" spans="1:17" x14ac:dyDescent="0.25">
      <c r="A20" s="1"/>
      <c r="B20" s="1" t="s">
        <v>41</v>
      </c>
      <c r="C20" s="1"/>
      <c r="D20" s="1">
        <f>-SUM(D19:E19)*D18</f>
        <v>1.1851851851851856</v>
      </c>
      <c r="E20" s="1">
        <f>-SUM(D19:E19)*E18</f>
        <v>1.4814814814814823</v>
      </c>
      <c r="F20" s="1">
        <f>-SUM(F19:H19)*F18</f>
        <v>2.9411764705882346</v>
      </c>
      <c r="G20" s="1">
        <f>-SUM(F19:H19)*G18</f>
        <v>2.2058823529411762</v>
      </c>
      <c r="H20" s="1">
        <f>-SUM(F19:H19)*H18</f>
        <v>2.3529411764705874</v>
      </c>
      <c r="I20" s="1">
        <f>-SUM(I19:K19)*I18</f>
        <v>-2.3529411764705874</v>
      </c>
      <c r="J20" s="1">
        <f>-SUM(I19:K19)*J18</f>
        <v>-2.2058823529411762</v>
      </c>
      <c r="K20" s="1">
        <f>-SUM(I19:K19)*K18</f>
        <v>-2.9411764705882346</v>
      </c>
      <c r="L20" s="1">
        <f>-(L19+M19-M14)*L18</f>
        <v>-1.9526214587563502</v>
      </c>
      <c r="M20" s="1">
        <f>-(L19+M19-M14)*M18</f>
        <v>-1.3807118745769837</v>
      </c>
      <c r="N20" s="1"/>
      <c r="O20" s="1"/>
      <c r="P20" s="1"/>
      <c r="Q20" s="1"/>
    </row>
    <row r="21" spans="1:17" x14ac:dyDescent="0.25">
      <c r="A21" s="1"/>
      <c r="B21" s="1" t="s">
        <v>42</v>
      </c>
      <c r="C21" s="1">
        <f>D20/2</f>
        <v>0.59259259259259278</v>
      </c>
      <c r="D21" s="1"/>
      <c r="E21" s="1">
        <f>F20/2</f>
        <v>1.4705882352941173</v>
      </c>
      <c r="F21" s="1">
        <f>E20/2</f>
        <v>0.74074074074074114</v>
      </c>
      <c r="G21" s="1"/>
      <c r="H21" s="1">
        <f>I20/2</f>
        <v>-1.1764705882352937</v>
      </c>
      <c r="I21" s="1">
        <f>H20/2</f>
        <v>1.1764705882352937</v>
      </c>
      <c r="J21" s="1"/>
      <c r="K21" s="1">
        <f>L20/2</f>
        <v>-0.97631072937817509</v>
      </c>
      <c r="L21" s="1">
        <f>K20/2</f>
        <v>-1.4705882352941173</v>
      </c>
      <c r="M21" s="1"/>
      <c r="N21" s="1">
        <f>M20/2</f>
        <v>-0.69035593728849187</v>
      </c>
      <c r="O21" s="1"/>
      <c r="P21" s="1"/>
      <c r="Q21" s="1"/>
    </row>
    <row r="22" spans="1:17" x14ac:dyDescent="0.25">
      <c r="A22" s="1"/>
      <c r="B22" s="1" t="s">
        <v>41</v>
      </c>
      <c r="C22" s="1"/>
      <c r="D22" s="1">
        <f>-SUM(D21:E21)*D18</f>
        <v>-0.65359477124182985</v>
      </c>
      <c r="E22" s="1">
        <f>-SUM(D21:E21)*E18</f>
        <v>-0.81699346405228745</v>
      </c>
      <c r="F22" s="1">
        <f>-SUM(F21:H21)*F18</f>
        <v>0.17087444999786375</v>
      </c>
      <c r="G22" s="1">
        <f>-SUM(F21:H21)*G18</f>
        <v>0.12815583749839782</v>
      </c>
      <c r="H22" s="1">
        <f>-SUM(F21:H21)*H18</f>
        <v>0.136699559998291</v>
      </c>
      <c r="I22" s="1">
        <f>-SUM(I21:K21)*I18</f>
        <v>-6.2795249837527406E-2</v>
      </c>
      <c r="J22" s="1">
        <f>-SUM(I21:K21)*J18</f>
        <v>-5.8870546722681952E-2</v>
      </c>
      <c r="K22" s="1">
        <f>-SUM(I21:K21)*K18</f>
        <v>-7.8494062296909264E-2</v>
      </c>
      <c r="L22" s="1">
        <f>-(L21+M21)*L18</f>
        <v>0.86145064356897771</v>
      </c>
      <c r="M22" s="1">
        <f>-(L21+M21)*M18</f>
        <v>0.60913759172513959</v>
      </c>
      <c r="N22" s="1"/>
      <c r="O22" s="1"/>
      <c r="P22" s="1"/>
      <c r="Q22" s="1"/>
    </row>
    <row r="23" spans="1:17" x14ac:dyDescent="0.25">
      <c r="A23" s="1"/>
      <c r="B23" s="1" t="s">
        <v>42</v>
      </c>
      <c r="C23" s="1">
        <f>D22/2</f>
        <v>-0.32679738562091493</v>
      </c>
      <c r="D23" s="1"/>
      <c r="E23" s="1">
        <f>F22/2</f>
        <v>8.5437224998931874E-2</v>
      </c>
      <c r="F23" s="1">
        <f>E22/2</f>
        <v>-0.40849673202614373</v>
      </c>
      <c r="G23" s="1"/>
      <c r="H23" s="1">
        <f>I22/2</f>
        <v>-3.1397624918763703E-2</v>
      </c>
      <c r="I23" s="1">
        <f>H22/2</f>
        <v>6.8349779999145502E-2</v>
      </c>
      <c r="J23" s="1"/>
      <c r="K23" s="1">
        <f>L22/2</f>
        <v>0.43072532178448886</v>
      </c>
      <c r="L23" s="1">
        <f>K22/2</f>
        <v>-3.9247031148454632E-2</v>
      </c>
      <c r="M23" s="1"/>
      <c r="N23" s="1">
        <f>M22/2</f>
        <v>0.3045687958625698</v>
      </c>
      <c r="O23" s="1"/>
      <c r="P23" s="1"/>
      <c r="Q23" s="1"/>
    </row>
    <row r="24" spans="1:17" x14ac:dyDescent="0.25">
      <c r="A24" s="1"/>
      <c r="B24" s="1" t="s">
        <v>41</v>
      </c>
      <c r="C24" s="1"/>
      <c r="D24" s="1">
        <f>-SUM(D23:E23)*D18</f>
        <v>-3.7972099999525277E-2</v>
      </c>
      <c r="E24" s="1">
        <f>-SUM(D23:E23)*E18</f>
        <v>-4.7465124999406597E-2</v>
      </c>
      <c r="F24" s="1">
        <f>-SUM(F23:H23)*F18</f>
        <v>0.17250759095878723</v>
      </c>
      <c r="G24" s="1">
        <f>-SUM(F23:H23)*G18</f>
        <v>0.12938069321909043</v>
      </c>
      <c r="H24" s="1">
        <f>-SUM(F23:H23)*H18</f>
        <v>0.13800607276702978</v>
      </c>
      <c r="I24" s="1">
        <f>-SUM(I23:K23)*I18</f>
        <v>-0.15657258095172841</v>
      </c>
      <c r="J24" s="1">
        <f>-SUM(I23:K23)*J18</f>
        <v>-0.14678679464224539</v>
      </c>
      <c r="K24" s="1">
        <f>-SUM(I23:K23)*K18</f>
        <v>-0.19571572618966052</v>
      </c>
      <c r="L24" s="1">
        <f>-(L23+M23)*L18</f>
        <v>2.2990378563885416E-2</v>
      </c>
      <c r="M24" s="1">
        <f>-(L23+M23)*M18</f>
        <v>1.6256652584569216E-2</v>
      </c>
      <c r="N24" s="1"/>
      <c r="O24" s="1"/>
      <c r="P24" s="1"/>
      <c r="Q24" s="1"/>
    </row>
    <row r="25" spans="1:17" x14ac:dyDescent="0.25">
      <c r="A25" s="1"/>
      <c r="B25" s="1" t="s">
        <v>42</v>
      </c>
      <c r="C25" s="1">
        <f t="shared" ref="C25" si="0">D24/2</f>
        <v>-1.8986049999762639E-2</v>
      </c>
      <c r="D25" s="1"/>
      <c r="E25" s="1">
        <f t="shared" ref="E25" si="1">F24/2</f>
        <v>8.6253795479393616E-2</v>
      </c>
      <c r="F25" s="1">
        <f t="shared" ref="F25" si="2">E24/2</f>
        <v>-2.3732562499703298E-2</v>
      </c>
      <c r="G25" s="1"/>
      <c r="H25" s="1">
        <f t="shared" ref="H25" si="3">I24/2</f>
        <v>-7.8286290475864204E-2</v>
      </c>
      <c r="I25" s="1">
        <f t="shared" ref="I25" si="4">H24/2</f>
        <v>6.900303638351489E-2</v>
      </c>
      <c r="J25" s="1"/>
      <c r="K25" s="1">
        <f t="shared" ref="K25" si="5">L24/2</f>
        <v>1.1495189281942708E-2</v>
      </c>
      <c r="L25" s="1">
        <f t="shared" ref="L25" si="6">K24/2</f>
        <v>-9.7857863094830258E-2</v>
      </c>
      <c r="M25" s="1"/>
      <c r="N25" s="1">
        <f t="shared" ref="N25" si="7">M24/2</f>
        <v>8.1283262922846079E-3</v>
      </c>
      <c r="O25" s="1"/>
      <c r="P25" s="1"/>
      <c r="Q25" s="1"/>
    </row>
    <row r="26" spans="1:17" x14ac:dyDescent="0.25">
      <c r="A26" s="1"/>
      <c r="B26" s="1" t="s">
        <v>41</v>
      </c>
      <c r="C26" s="1"/>
      <c r="D26" s="1">
        <f>-SUM(D25:E25)*D18</f>
        <v>-3.8335020213063828E-2</v>
      </c>
      <c r="E26" s="1">
        <f>-SUM(D25:E25)*E18</f>
        <v>-4.7918775266329788E-2</v>
      </c>
      <c r="F26" s="1">
        <f>-SUM(F25:H25)*F18</f>
        <v>4.0007393323751965E-2</v>
      </c>
      <c r="G26" s="1">
        <f>-SUM(F25:H25)*G18</f>
        <v>3.0005544992813975E-2</v>
      </c>
      <c r="H26" s="1">
        <f>-SUM(F25:H25)*H18</f>
        <v>3.2005914659001572E-2</v>
      </c>
      <c r="I26" s="1">
        <f>-SUM(I25:K25)*I18</f>
        <v>-2.5254345306810227E-2</v>
      </c>
      <c r="J26" s="1">
        <f>-SUM(I25:K25)*J18</f>
        <v>-2.367594872513459E-2</v>
      </c>
      <c r="K26" s="1">
        <f>-SUM(I25:K25)*K18</f>
        <v>-3.1567931633512784E-2</v>
      </c>
      <c r="L26" s="1">
        <f>-(L25+M25)*L18</f>
        <v>5.7323809016101991E-2</v>
      </c>
      <c r="M26" s="1">
        <f>-(L25+M25)*M18</f>
        <v>4.0534054078728267E-2</v>
      </c>
      <c r="N26" s="1"/>
      <c r="O26" s="1"/>
      <c r="P26" s="1"/>
      <c r="Q26" s="1"/>
    </row>
    <row r="27" spans="1:17" x14ac:dyDescent="0.25">
      <c r="A27" s="1"/>
      <c r="B27" s="1" t="s">
        <v>42</v>
      </c>
      <c r="C27" s="1">
        <f t="shared" ref="C27" si="8">D26/2</f>
        <v>-1.9167510106531914E-2</v>
      </c>
      <c r="D27" s="1"/>
      <c r="E27" s="1">
        <f t="shared" ref="E27" si="9">F26/2</f>
        <v>2.0003696661875982E-2</v>
      </c>
      <c r="F27" s="1">
        <f t="shared" ref="F27" si="10">E26/2</f>
        <v>-2.3959387633164894E-2</v>
      </c>
      <c r="G27" s="1"/>
      <c r="H27" s="1">
        <f t="shared" ref="H27" si="11">I26/2</f>
        <v>-1.2627172653405114E-2</v>
      </c>
      <c r="I27" s="1">
        <f t="shared" ref="I27" si="12">H26/2</f>
        <v>1.6002957329500786E-2</v>
      </c>
      <c r="J27" s="1"/>
      <c r="K27" s="1">
        <f t="shared" ref="K27" si="13">L26/2</f>
        <v>2.8661904508050996E-2</v>
      </c>
      <c r="L27" s="1">
        <f t="shared" ref="L27" si="14">K26/2</f>
        <v>-1.5783965816756392E-2</v>
      </c>
      <c r="M27" s="1"/>
      <c r="N27" s="1">
        <f t="shared" ref="N27" si="15">M26/2</f>
        <v>2.0267027039364133E-2</v>
      </c>
      <c r="O27" s="1"/>
      <c r="P27" s="1"/>
      <c r="Q27" s="1"/>
    </row>
    <row r="28" spans="1:17" x14ac:dyDescent="0.25">
      <c r="A28" s="1"/>
      <c r="B28" s="1" t="s">
        <v>41</v>
      </c>
      <c r="C28" s="1"/>
      <c r="D28" s="1">
        <f>-SUM(D27:E27)*D18</f>
        <v>-8.8905318497226587E-3</v>
      </c>
      <c r="E28" s="1">
        <f>-SUM(D27:E27)*E18</f>
        <v>-1.1113164812153324E-2</v>
      </c>
      <c r="F28" s="1">
        <f>-SUM(F27:H27)*F18</f>
        <v>1.4347670700615689E-2</v>
      </c>
      <c r="G28" s="1">
        <f>-SUM(F27:H27)*G18</f>
        <v>1.0760753025461768E-2</v>
      </c>
      <c r="H28" s="1">
        <f>-SUM(F27:H27)*H18</f>
        <v>1.1478136560492552E-2</v>
      </c>
      <c r="I28" s="1">
        <f>-SUM(I27:K27)*I18</f>
        <v>-1.4012505674526048E-2</v>
      </c>
      <c r="J28" s="1">
        <f>-SUM(I27:K27)*J18</f>
        <v>-1.3136724069868171E-2</v>
      </c>
      <c r="K28" s="1">
        <f>-SUM(I27:K27)*K18</f>
        <v>-1.7515632093157561E-2</v>
      </c>
      <c r="L28" s="1">
        <f>-(L27+M27)*L18</f>
        <v>9.2460331074225681E-3</v>
      </c>
      <c r="M28" s="1">
        <f>-(L27+M27)*M18</f>
        <v>6.5379327093338241E-3</v>
      </c>
      <c r="N28" s="1"/>
      <c r="O28" s="1"/>
      <c r="P28" s="1"/>
      <c r="Q28" s="1"/>
    </row>
    <row r="29" spans="1:17" x14ac:dyDescent="0.25">
      <c r="A29" s="1"/>
      <c r="B29" s="1" t="s">
        <v>42</v>
      </c>
      <c r="C29" s="1">
        <f t="shared" ref="C29" si="16">D28/2</f>
        <v>-4.4452659248613293E-3</v>
      </c>
      <c r="D29" s="1"/>
      <c r="E29" s="1">
        <f t="shared" ref="E29" si="17">F28/2</f>
        <v>7.1738353503078443E-3</v>
      </c>
      <c r="F29" s="1">
        <f t="shared" ref="F29" si="18">E28/2</f>
        <v>-5.5565824060766619E-3</v>
      </c>
      <c r="G29" s="1"/>
      <c r="H29" s="1">
        <f t="shared" ref="H29" si="19">I28/2</f>
        <v>-7.0062528372630238E-3</v>
      </c>
      <c r="I29" s="1">
        <f t="shared" ref="I29" si="20">H28/2</f>
        <v>5.7390682802462758E-3</v>
      </c>
      <c r="J29" s="1"/>
      <c r="K29" s="1">
        <f t="shared" ref="K29" si="21">L28/2</f>
        <v>4.623016553711284E-3</v>
      </c>
      <c r="L29" s="1">
        <f t="shared" ref="L29" si="22">K28/2</f>
        <v>-8.7578160465787806E-3</v>
      </c>
      <c r="M29" s="1"/>
      <c r="N29" s="1">
        <f t="shared" ref="N29" si="23">M28/2</f>
        <v>3.268966354666912E-3</v>
      </c>
      <c r="O29" s="1"/>
      <c r="P29" s="1"/>
      <c r="Q29" s="1"/>
    </row>
    <row r="30" spans="1:17" x14ac:dyDescent="0.25">
      <c r="A30" s="1"/>
      <c r="B30" s="1" t="s">
        <v>41</v>
      </c>
      <c r="C30" s="1"/>
      <c r="D30" s="1">
        <f>-SUM(D29:E29)*D18</f>
        <v>-3.1883712668034862E-3</v>
      </c>
      <c r="E30" s="1">
        <f>-SUM(D29:E29)*E18</f>
        <v>-3.9854640835043581E-3</v>
      </c>
      <c r="F30" s="1">
        <f>-SUM(F29:H29)*F18</f>
        <v>4.9266020562116417E-3</v>
      </c>
      <c r="G30" s="1">
        <f>-SUM(F29:H29)*G18</f>
        <v>3.6949515421587317E-3</v>
      </c>
      <c r="H30" s="1">
        <f>-SUM(F29:H29)*H18</f>
        <v>3.9412816449693137E-3</v>
      </c>
      <c r="I30" s="1">
        <f>-SUM(I29:K29)*I18</f>
        <v>-3.2508501439866854E-3</v>
      </c>
      <c r="J30" s="1">
        <f>-SUM(I29:K29)*J18</f>
        <v>-3.0476720099875177E-3</v>
      </c>
      <c r="K30" s="1">
        <f>-SUM(I29:K29)*K18</f>
        <v>-4.0635626799833567E-3</v>
      </c>
      <c r="L30" s="1">
        <f>-(L29+M29)*L18</f>
        <v>5.130209863317128E-3</v>
      </c>
      <c r="M30" s="1">
        <f>-(L29+M29)*M18</f>
        <v>3.6276061832616522E-3</v>
      </c>
      <c r="N30" s="1"/>
      <c r="O30" s="1"/>
      <c r="P30" s="1"/>
      <c r="Q30" s="1"/>
    </row>
    <row r="31" spans="1:17" x14ac:dyDescent="0.25">
      <c r="A31" s="1"/>
      <c r="B31" s="1" t="s">
        <v>42</v>
      </c>
      <c r="C31" s="1">
        <f t="shared" ref="C31" si="24">D30/2</f>
        <v>-1.5941856334017431E-3</v>
      </c>
      <c r="D31" s="1"/>
      <c r="E31" s="1">
        <f t="shared" ref="E31" si="25">F30/2</f>
        <v>2.4633010281058208E-3</v>
      </c>
      <c r="F31" s="1">
        <f t="shared" ref="F31" si="26">E30/2</f>
        <v>-1.9927320417521791E-3</v>
      </c>
      <c r="G31" s="1"/>
      <c r="H31" s="1">
        <f t="shared" ref="H31" si="27">I30/2</f>
        <v>-1.6254250719933427E-3</v>
      </c>
      <c r="I31" s="1">
        <f t="shared" ref="I31" si="28">H30/2</f>
        <v>1.9706408224846568E-3</v>
      </c>
      <c r="J31" s="1"/>
      <c r="K31" s="1">
        <f t="shared" ref="K31" si="29">L30/2</f>
        <v>2.565104931658564E-3</v>
      </c>
      <c r="L31" s="1">
        <f t="shared" ref="L31" si="30">K30/2</f>
        <v>-2.0317813399916783E-3</v>
      </c>
      <c r="M31" s="1"/>
      <c r="N31" s="1">
        <f t="shared" ref="N31" si="31">M30/2</f>
        <v>1.8138030916308261E-3</v>
      </c>
      <c r="O31" s="1"/>
      <c r="P31" s="1"/>
      <c r="Q31" s="1"/>
    </row>
    <row r="32" spans="1:17" x14ac:dyDescent="0.25">
      <c r="A32" s="1"/>
      <c r="B32" s="1" t="s">
        <v>41</v>
      </c>
      <c r="C32" s="1"/>
      <c r="D32" s="1">
        <f>-SUM(D31:E31)*D18</f>
        <v>-1.0948004569359202E-3</v>
      </c>
      <c r="E32" s="1">
        <f>-SUM(D31:E31)*E18</f>
        <v>-1.3685005711699006E-3</v>
      </c>
      <c r="F32" s="1">
        <f>-SUM(F31:H31)*F18</f>
        <v>1.4188851426453026E-3</v>
      </c>
      <c r="G32" s="1">
        <f>-SUM(F31:H31)*G18</f>
        <v>1.0641638569839772E-3</v>
      </c>
      <c r="H32" s="1">
        <f>-SUM(F31:H31)*H18</f>
        <v>1.1351081141162422E-3</v>
      </c>
      <c r="I32" s="1">
        <f>-SUM(I31:K31)*I18</f>
        <v>-1.4229790601233633E-3</v>
      </c>
      <c r="J32" s="1">
        <f>-SUM(I31:K31)*J18</f>
        <v>-1.3340428688656532E-3</v>
      </c>
      <c r="K32" s="1">
        <f>-SUM(I31:K31)*K18</f>
        <v>-1.7787238251542041E-3</v>
      </c>
      <c r="L32" s="1">
        <f>-(L31+M31)*L18</f>
        <v>1.1901899531905446E-3</v>
      </c>
      <c r="M32" s="1">
        <f>-(L31+M31)*M18</f>
        <v>8.415913868011337E-4</v>
      </c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 t="s">
        <v>39</v>
      </c>
      <c r="C34" s="1" t="s">
        <v>43</v>
      </c>
      <c r="D34" s="1" t="s">
        <v>44</v>
      </c>
      <c r="E34" s="1" t="s">
        <v>45</v>
      </c>
      <c r="F34" s="1" t="s">
        <v>46</v>
      </c>
      <c r="G34" s="1" t="s">
        <v>47</v>
      </c>
      <c r="H34" s="1" t="s">
        <v>48</v>
      </c>
      <c r="I34" s="1" t="s">
        <v>49</v>
      </c>
      <c r="J34" s="1" t="s">
        <v>50</v>
      </c>
      <c r="K34" s="1" t="s">
        <v>51</v>
      </c>
      <c r="L34" s="1" t="s">
        <v>52</v>
      </c>
      <c r="M34" s="1" t="s">
        <v>53</v>
      </c>
      <c r="N34" s="1" t="s">
        <v>54</v>
      </c>
      <c r="O34" s="1" t="s">
        <v>55</v>
      </c>
      <c r="P34" s="1" t="s">
        <v>56</v>
      </c>
      <c r="Q34" s="1"/>
    </row>
    <row r="35" spans="1:17" x14ac:dyDescent="0.25">
      <c r="A35" s="1"/>
      <c r="B35" s="3" t="s">
        <v>90</v>
      </c>
      <c r="C35" s="1">
        <f>SUM(C19:C32)</f>
        <v>-10.445064471359546</v>
      </c>
      <c r="D35" s="1">
        <f t="shared" ref="D35:N35" si="32">SUM(D19:D32)</f>
        <v>11.108776256823971</v>
      </c>
      <c r="E35" s="1">
        <f t="shared" si="32"/>
        <v>-11.108776256823971</v>
      </c>
      <c r="F35" s="1">
        <f t="shared" si="32"/>
        <v>16.955595140235342</v>
      </c>
      <c r="G35" s="1">
        <f t="shared" si="32"/>
        <v>2.5089442970760829</v>
      </c>
      <c r="H35" s="1">
        <f t="shared" si="32"/>
        <v>-19.46453943731143</v>
      </c>
      <c r="I35" s="1">
        <f t="shared" si="32"/>
        <v>19.55461971693823</v>
      </c>
      <c r="J35" s="1">
        <f t="shared" si="32"/>
        <v>-2.4527340819799601</v>
      </c>
      <c r="K35" s="1">
        <f t="shared" si="32"/>
        <v>-17.101885634958268</v>
      </c>
      <c r="L35" s="1">
        <f t="shared" si="32"/>
        <v>10.703776445909147</v>
      </c>
      <c r="M35" s="1">
        <f t="shared" si="32"/>
        <v>-0.70377644590915012</v>
      </c>
      <c r="N35" s="1">
        <f t="shared" si="32"/>
        <v>-0.35230901864797565</v>
      </c>
      <c r="O35" s="1">
        <v>0</v>
      </c>
      <c r="P35" s="1">
        <v>0</v>
      </c>
      <c r="Q35" s="1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 t="s">
        <v>91</v>
      </c>
      <c r="C37" s="1"/>
      <c r="D37" s="1"/>
      <c r="E37" s="1">
        <f>(-SUM(E35:F35)/L_BC)+(F3*L_BC/2)</f>
        <v>18.538295279147157</v>
      </c>
      <c r="F37" s="1">
        <f>(-SUM(E35:F35)/L_BC)-(F3*L_BC/2)</f>
        <v>-21.461704720852843</v>
      </c>
      <c r="G37" s="1">
        <f>-G35/L_CD</f>
        <v>-0.62723607426902073</v>
      </c>
      <c r="H37" s="1">
        <f>-(SUM(H35:I35)/L_CE)+(F3*L_CE/2)</f>
        <v>24.981983944074639</v>
      </c>
      <c r="I37" s="1">
        <f>-(SUM(H35:I35)/L_CE)-(F3*L_CE/2)</f>
        <v>-25.018016055925361</v>
      </c>
      <c r="J37" s="1">
        <f>-J35/L_EF</f>
        <v>0.61318352049499003</v>
      </c>
      <c r="K37" s="1">
        <f>-(SUM(K35:L35)/L_EG)+(F3*L_EG/2)</f>
        <v>21.599527297262281</v>
      </c>
      <c r="L37" s="1">
        <f>-(SUM(K35:L35)/L_EG)-(F3*L_EG/2)</f>
        <v>-18.400472702737719</v>
      </c>
      <c r="M37" s="1"/>
      <c r="N37" s="1"/>
      <c r="O37" s="1"/>
      <c r="P37" s="1"/>
      <c r="Q37" s="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 t="s">
        <v>65</v>
      </c>
      <c r="C39" s="1" t="s">
        <v>60</v>
      </c>
      <c r="D39" s="1"/>
      <c r="E39" s="1"/>
      <c r="F39" s="1"/>
      <c r="G39" s="1" t="s">
        <v>63</v>
      </c>
      <c r="H39" s="1"/>
      <c r="I39" s="1"/>
      <c r="J39" s="1" t="s">
        <v>64</v>
      </c>
      <c r="K39" s="1"/>
      <c r="L39" s="1"/>
      <c r="M39" s="1" t="s">
        <v>62</v>
      </c>
      <c r="N39" s="1" t="s">
        <v>61</v>
      </c>
      <c r="O39" s="1"/>
      <c r="P39" s="1"/>
      <c r="Q39" s="1"/>
    </row>
    <row r="40" spans="1:17" x14ac:dyDescent="0.25">
      <c r="A40" s="1"/>
      <c r="B40" s="1">
        <f>-D3*H1_</f>
        <v>-32</v>
      </c>
      <c r="C40" s="1">
        <f>-(SUM(C35:D35)+E37*S1_-(D3*H1_*H1_*0.5))/H1_</f>
        <v>1.9303505942735271</v>
      </c>
      <c r="D40" s="1"/>
      <c r="E40" s="1"/>
      <c r="F40" s="1"/>
      <c r="G40" s="1">
        <f>G37</f>
        <v>-0.62723607426902073</v>
      </c>
      <c r="H40" s="1"/>
      <c r="I40" s="1"/>
      <c r="J40" s="1">
        <f>J37</f>
        <v>0.61318352049499003</v>
      </c>
      <c r="K40" s="1"/>
      <c r="L40" s="1"/>
      <c r="M40" s="1">
        <f>L37-(2*E3)</f>
        <v>-28.400472702737719</v>
      </c>
      <c r="N40" s="1">
        <f>-(SUM(M35:N35)+(M40*S3_))/H1_</f>
        <v>28.664494068877001</v>
      </c>
      <c r="O40" s="1"/>
      <c r="P40" s="1"/>
      <c r="Q40" s="1"/>
    </row>
    <row r="41" spans="1:17" x14ac:dyDescent="0.25">
      <c r="A41" s="1"/>
      <c r="B41" s="1" t="s">
        <v>7</v>
      </c>
      <c r="C41" s="1" t="s">
        <v>7</v>
      </c>
      <c r="D41" s="1"/>
      <c r="E41" s="1"/>
      <c r="F41" s="1"/>
      <c r="G41" s="1" t="s">
        <v>7</v>
      </c>
      <c r="H41" s="1"/>
      <c r="I41" s="1"/>
      <c r="J41" s="1" t="s">
        <v>7</v>
      </c>
      <c r="K41" s="1"/>
      <c r="L41" s="1"/>
      <c r="M41" s="1" t="s">
        <v>7</v>
      </c>
      <c r="N41" s="1" t="s">
        <v>7</v>
      </c>
      <c r="O41" s="1"/>
      <c r="P41" s="1"/>
      <c r="Q41" s="1"/>
    </row>
    <row r="42" spans="1:17" x14ac:dyDescent="0.25">
      <c r="A42" s="1"/>
      <c r="B42" s="1" t="s">
        <v>125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" t="s">
        <v>77</v>
      </c>
      <c r="B44" s="1">
        <f>SUM(N40,J40,G40,B40:C40)</f>
        <v>-1.4192078906235039</v>
      </c>
      <c r="C44" s="1" t="s">
        <v>7</v>
      </c>
      <c r="D44" s="3" t="s">
        <v>67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 t="s">
        <v>1</v>
      </c>
      <c r="C51" s="1"/>
      <c r="D51" s="1" t="s">
        <v>0</v>
      </c>
      <c r="E51" s="1" t="s">
        <v>10</v>
      </c>
      <c r="F51" s="1" t="s">
        <v>11</v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>
        <f>LW</f>
        <v>8</v>
      </c>
      <c r="E52" s="1">
        <f>W1_</f>
        <v>5</v>
      </c>
      <c r="F52" s="1">
        <f>W2_</f>
        <v>10</v>
      </c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 t="s">
        <v>17</v>
      </c>
      <c r="E53" s="1" t="s">
        <v>17</v>
      </c>
      <c r="F53" s="1" t="s">
        <v>17</v>
      </c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 t="s">
        <v>20</v>
      </c>
      <c r="D56" s="1" t="s">
        <v>21</v>
      </c>
      <c r="E56" s="1" t="s">
        <v>22</v>
      </c>
      <c r="F56" s="1" t="s">
        <v>23</v>
      </c>
      <c r="G56" s="1" t="s">
        <v>24</v>
      </c>
      <c r="H56" s="1" t="s">
        <v>25</v>
      </c>
      <c r="I56" s="1" t="s">
        <v>26</v>
      </c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>
        <f>SQRT((S1_*S1_)+(H1_*H1_))</f>
        <v>5</v>
      </c>
      <c r="D57" s="1">
        <v>4</v>
      </c>
      <c r="E57" s="1">
        <f xml:space="preserve"> H1_</f>
        <v>4</v>
      </c>
      <c r="F57" s="1">
        <f xml:space="preserve"> S2_</f>
        <v>5</v>
      </c>
      <c r="G57" s="1">
        <f xml:space="preserve"> H1_</f>
        <v>4</v>
      </c>
      <c r="H57" s="1">
        <v>4</v>
      </c>
      <c r="I57" s="1">
        <f>SQRT((S3_*S3_)+(H1_*H1_))</f>
        <v>5.6568542494923806</v>
      </c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 t="s">
        <v>13</v>
      </c>
      <c r="D58" s="1" t="s">
        <v>13</v>
      </c>
      <c r="E58" s="1" t="s">
        <v>13</v>
      </c>
      <c r="F58" s="1" t="s">
        <v>13</v>
      </c>
      <c r="G58" s="1" t="s">
        <v>13</v>
      </c>
      <c r="H58" s="1" t="s">
        <v>13</v>
      </c>
      <c r="I58" s="1" t="s">
        <v>13</v>
      </c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 t="s">
        <v>66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B61" s="1" t="s">
        <v>39</v>
      </c>
      <c r="C61" s="1" t="s">
        <v>43</v>
      </c>
      <c r="D61" s="1" t="s">
        <v>44</v>
      </c>
      <c r="E61" s="1" t="s">
        <v>45</v>
      </c>
      <c r="F61" s="1" t="s">
        <v>46</v>
      </c>
      <c r="G61" s="1" t="s">
        <v>47</v>
      </c>
      <c r="H61" s="1" t="s">
        <v>48</v>
      </c>
      <c r="I61" s="1" t="s">
        <v>49</v>
      </c>
      <c r="J61" s="1" t="s">
        <v>50</v>
      </c>
      <c r="K61" s="1" t="s">
        <v>51</v>
      </c>
      <c r="L61" s="1" t="s">
        <v>52</v>
      </c>
      <c r="M61" s="1" t="s">
        <v>53</v>
      </c>
      <c r="N61" s="1" t="s">
        <v>54</v>
      </c>
      <c r="O61" s="1" t="s">
        <v>55</v>
      </c>
      <c r="P61" s="1" t="s">
        <v>56</v>
      </c>
    </row>
    <row r="62" spans="1:16" x14ac:dyDescent="0.25">
      <c r="B62" s="2" t="s">
        <v>68</v>
      </c>
      <c r="C62" s="1">
        <f>C57/H1_</f>
        <v>1.25</v>
      </c>
      <c r="D62" s="1">
        <f>C57/H1_</f>
        <v>1.25</v>
      </c>
      <c r="E62">
        <f>S1_/H1_</f>
        <v>0.75</v>
      </c>
      <c r="F62">
        <f>S1_/H1_</f>
        <v>0.75</v>
      </c>
      <c r="G62">
        <v>1</v>
      </c>
      <c r="H62">
        <v>0</v>
      </c>
      <c r="I62">
        <v>0</v>
      </c>
      <c r="J62">
        <v>1</v>
      </c>
      <c r="K62">
        <f>S3_/H1_</f>
        <v>1</v>
      </c>
      <c r="L62">
        <f>S3_/H1_</f>
        <v>1</v>
      </c>
      <c r="M62">
        <f>I57/H1_</f>
        <v>1.4142135623730951</v>
      </c>
      <c r="N62">
        <f>I57/H1_</f>
        <v>1.4142135623730951</v>
      </c>
      <c r="O62">
        <v>1</v>
      </c>
      <c r="P62">
        <v>1</v>
      </c>
    </row>
    <row r="63" spans="1:16" x14ac:dyDescent="0.25">
      <c r="B63" t="s">
        <v>69</v>
      </c>
      <c r="C63">
        <f>6*EI/H1_/C57</f>
        <v>5400</v>
      </c>
      <c r="D63">
        <f>6*EI/H1_/C57</f>
        <v>5400</v>
      </c>
      <c r="E63">
        <f>-6*EI*E62/D57/D57</f>
        <v>-5062.5</v>
      </c>
      <c r="F63">
        <f>-6*EI*F62/D57/D57</f>
        <v>-5062.5</v>
      </c>
      <c r="G63">
        <f>3*EI*G62/E57/E57</f>
        <v>3375</v>
      </c>
      <c r="H63">
        <v>0</v>
      </c>
      <c r="I63">
        <v>0</v>
      </c>
      <c r="J63">
        <f>3*EI*J62/G57/G57</f>
        <v>3375</v>
      </c>
      <c r="K63">
        <f>-6*EI*K62/H57/H57</f>
        <v>-6750</v>
      </c>
      <c r="L63">
        <f>-6*EI*L62/H57/H57</f>
        <v>-6750</v>
      </c>
      <c r="M63">
        <f>6*EI*M62/I57/I57</f>
        <v>4772.9707730091959</v>
      </c>
      <c r="N63">
        <f>6*EI*N62/I57/I57</f>
        <v>4772.9707730091959</v>
      </c>
      <c r="O63">
        <v>0</v>
      </c>
      <c r="P63">
        <v>0</v>
      </c>
    </row>
    <row r="64" spans="1:16" x14ac:dyDescent="0.25">
      <c r="B64" s="1" t="s">
        <v>70</v>
      </c>
      <c r="C64">
        <f>C63*100/C65</f>
        <v>80</v>
      </c>
      <c r="D64">
        <f>D63*100/C65</f>
        <v>80</v>
      </c>
      <c r="E64">
        <f>E63*100/C65</f>
        <v>-75</v>
      </c>
      <c r="F64">
        <f>F63*100/C65</f>
        <v>-75</v>
      </c>
      <c r="G64">
        <f>G63*100/C65</f>
        <v>50</v>
      </c>
      <c r="H64">
        <f>H63*100/C65</f>
        <v>0</v>
      </c>
      <c r="I64">
        <f>I63*100/C65</f>
        <v>0</v>
      </c>
      <c r="J64">
        <f>J63*100/C65</f>
        <v>50</v>
      </c>
      <c r="K64">
        <f>K63*100/C65</f>
        <v>-100</v>
      </c>
      <c r="L64">
        <f>L63*100/C65</f>
        <v>-100</v>
      </c>
      <c r="M64">
        <f>M63*100/C65</f>
        <v>70.710678118654755</v>
      </c>
      <c r="N64">
        <f>N63*100/C65</f>
        <v>70.710678118654755</v>
      </c>
      <c r="O64">
        <f>O63*100/C65</f>
        <v>0</v>
      </c>
      <c r="P64">
        <f>P63*100/C65</f>
        <v>0</v>
      </c>
    </row>
    <row r="65" spans="2:16" x14ac:dyDescent="0.25">
      <c r="B65" s="1" t="s">
        <v>123</v>
      </c>
      <c r="C65">
        <f>MAX(ABS(P63),ABS(O63),ABS(N63),ABS(M63),ABS(L63),ABS(K63),ABS(J63),ABS(I63),ABS(H63),ABS(G63),ABS(F63),ABS(E63),ABS(D63),ABS(C63))</f>
        <v>6750</v>
      </c>
    </row>
    <row r="67" spans="2:1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3"/>
      <c r="M69" s="1"/>
      <c r="N69" s="1"/>
      <c r="O69" s="1"/>
      <c r="P69" s="1"/>
    </row>
    <row r="70" spans="2:16" x14ac:dyDescent="0.25">
      <c r="B70" s="1" t="s">
        <v>28</v>
      </c>
      <c r="C70" s="1" t="s">
        <v>29</v>
      </c>
      <c r="D70" s="1" t="s">
        <v>30</v>
      </c>
      <c r="E70" s="1" t="s">
        <v>30</v>
      </c>
      <c r="F70" s="1" t="s">
        <v>31</v>
      </c>
      <c r="G70" s="1" t="s">
        <v>31</v>
      </c>
      <c r="H70" s="1" t="s">
        <v>31</v>
      </c>
      <c r="I70" s="1" t="s">
        <v>33</v>
      </c>
      <c r="J70" s="1" t="s">
        <v>33</v>
      </c>
      <c r="K70" s="1" t="s">
        <v>33</v>
      </c>
      <c r="L70" s="1" t="s">
        <v>35</v>
      </c>
      <c r="M70" s="1" t="s">
        <v>35</v>
      </c>
      <c r="N70" s="1" t="s">
        <v>36</v>
      </c>
      <c r="O70" s="1" t="s">
        <v>32</v>
      </c>
      <c r="P70" s="1" t="s">
        <v>34</v>
      </c>
    </row>
    <row r="71" spans="2:16" x14ac:dyDescent="0.25">
      <c r="B71" s="1" t="s">
        <v>39</v>
      </c>
      <c r="C71" s="1" t="s">
        <v>43</v>
      </c>
      <c r="D71" s="1" t="s">
        <v>44</v>
      </c>
      <c r="E71" s="1" t="s">
        <v>45</v>
      </c>
      <c r="F71" s="1" t="s">
        <v>46</v>
      </c>
      <c r="G71" s="1" t="s">
        <v>47</v>
      </c>
      <c r="H71" s="1" t="s">
        <v>48</v>
      </c>
      <c r="I71" s="1" t="s">
        <v>49</v>
      </c>
      <c r="J71" s="1" t="s">
        <v>50</v>
      </c>
      <c r="K71" s="1" t="s">
        <v>51</v>
      </c>
      <c r="L71" s="1" t="s">
        <v>52</v>
      </c>
      <c r="M71" s="1" t="s">
        <v>53</v>
      </c>
      <c r="N71" s="1" t="s">
        <v>54</v>
      </c>
      <c r="O71" s="1" t="s">
        <v>55</v>
      </c>
      <c r="P71" s="1" t="s">
        <v>56</v>
      </c>
    </row>
    <row r="72" spans="2:16" x14ac:dyDescent="0.25">
      <c r="B72" s="1" t="s">
        <v>57</v>
      </c>
      <c r="C72" s="1">
        <f xml:space="preserve"> 4 * EI/L_AB</f>
        <v>14400</v>
      </c>
      <c r="D72" s="1">
        <f xml:space="preserve"> 4 * EI/L_AB</f>
        <v>14400</v>
      </c>
      <c r="E72" s="1">
        <f xml:space="preserve"> 4 * EI/L_BC</f>
        <v>18000</v>
      </c>
      <c r="F72" s="1">
        <f xml:space="preserve"> 4 * EI/L_BC</f>
        <v>18000</v>
      </c>
      <c r="G72" s="1">
        <f>3* EI / L_CD</f>
        <v>13500</v>
      </c>
      <c r="H72" s="1">
        <f>4*EI/L_CE</f>
        <v>14400</v>
      </c>
      <c r="I72" s="1">
        <f>4*EI/L_CE</f>
        <v>14400</v>
      </c>
      <c r="J72" s="1">
        <f>3*EI/L_EF</f>
        <v>13500</v>
      </c>
      <c r="K72" s="1">
        <f>4*EI/L_EG</f>
        <v>18000</v>
      </c>
      <c r="L72" s="1">
        <f>4*EI/L_EG</f>
        <v>18000</v>
      </c>
      <c r="M72" s="1">
        <f>4*EI/L_GH</f>
        <v>12727.922061357855</v>
      </c>
      <c r="N72" s="1">
        <f>4*EI/L_GH</f>
        <v>12727.922061357855</v>
      </c>
      <c r="O72" s="1">
        <f>3* EI / L_CD</f>
        <v>13500</v>
      </c>
      <c r="P72" s="1">
        <f>3*EI/L_EF</f>
        <v>13500</v>
      </c>
    </row>
    <row r="73" spans="2:16" x14ac:dyDescent="0.25">
      <c r="B73" s="1" t="s">
        <v>40</v>
      </c>
      <c r="C73" s="1">
        <v>0</v>
      </c>
      <c r="D73" s="1">
        <f>D72/SUM(D72:E72)</f>
        <v>0.44444444444444442</v>
      </c>
      <c r="E73" s="1">
        <f>E72/SUM(D72:E72)</f>
        <v>0.55555555555555558</v>
      </c>
      <c r="F73" s="1">
        <f>F72/SUM(F72:H72)</f>
        <v>0.39215686274509803</v>
      </c>
      <c r="G73" s="1">
        <f>G72/SUM(F72:H72)</f>
        <v>0.29411764705882354</v>
      </c>
      <c r="H73" s="1">
        <f>H72/SUM(F72:H72)</f>
        <v>0.31372549019607843</v>
      </c>
      <c r="I73" s="1">
        <f>I72/SUM(I72:K72)</f>
        <v>0.31372549019607843</v>
      </c>
      <c r="J73" s="1">
        <f>J72/SUM(I72:K72)</f>
        <v>0.29411764705882354</v>
      </c>
      <c r="K73" s="1">
        <f>K72/SUM(I72:K72)</f>
        <v>0.39215686274509803</v>
      </c>
      <c r="L73" s="1">
        <f>L72/SUM(L72:M72)</f>
        <v>0.58578643762690497</v>
      </c>
      <c r="M73" s="1">
        <f>M72/SUM(L72:M72)</f>
        <v>0.41421356237309503</v>
      </c>
      <c r="N73" s="1">
        <v>0</v>
      </c>
      <c r="O73" s="1">
        <v>1</v>
      </c>
      <c r="P73" s="1">
        <v>1</v>
      </c>
    </row>
    <row r="74" spans="2:16" x14ac:dyDescent="0.25">
      <c r="B74" s="1" t="s">
        <v>38</v>
      </c>
      <c r="C74" s="1">
        <f>C64</f>
        <v>80</v>
      </c>
      <c r="D74" s="1">
        <f t="shared" ref="D74:P74" si="33">D64</f>
        <v>80</v>
      </c>
      <c r="E74" s="1">
        <f t="shared" si="33"/>
        <v>-75</v>
      </c>
      <c r="F74" s="1">
        <f t="shared" si="33"/>
        <v>-75</v>
      </c>
      <c r="G74" s="1">
        <f t="shared" si="33"/>
        <v>50</v>
      </c>
      <c r="H74" s="1">
        <f t="shared" si="33"/>
        <v>0</v>
      </c>
      <c r="I74" s="1">
        <f t="shared" si="33"/>
        <v>0</v>
      </c>
      <c r="J74" s="1">
        <f t="shared" si="33"/>
        <v>50</v>
      </c>
      <c r="K74" s="1">
        <f t="shared" si="33"/>
        <v>-100</v>
      </c>
      <c r="L74" s="1">
        <f t="shared" si="33"/>
        <v>-100</v>
      </c>
      <c r="M74" s="1">
        <f t="shared" si="33"/>
        <v>70.710678118654755</v>
      </c>
      <c r="N74" s="1">
        <f t="shared" si="33"/>
        <v>70.710678118654755</v>
      </c>
      <c r="O74" s="1">
        <f t="shared" si="33"/>
        <v>0</v>
      </c>
      <c r="P74" s="1">
        <f t="shared" si="33"/>
        <v>0</v>
      </c>
    </row>
    <row r="75" spans="2:16" x14ac:dyDescent="0.25">
      <c r="B75" s="1" t="s">
        <v>41</v>
      </c>
      <c r="C75" s="1"/>
      <c r="D75" s="1">
        <f>-SUM(D74:E74)*D73</f>
        <v>-2.2222222222222223</v>
      </c>
      <c r="E75" s="1">
        <f>-SUM(D74:E74)*E73</f>
        <v>-2.7777777777777777</v>
      </c>
      <c r="F75" s="1">
        <f>-SUM(F74:H74)*F73</f>
        <v>9.8039215686274517</v>
      </c>
      <c r="G75" s="1">
        <f>-SUM(F74:H74)*G73</f>
        <v>7.3529411764705888</v>
      </c>
      <c r="H75" s="1">
        <f>-SUM(F74:H74)*H73</f>
        <v>7.8431372549019605</v>
      </c>
      <c r="I75" s="1">
        <f>-SUM(I74:K74)*I73</f>
        <v>15.686274509803921</v>
      </c>
      <c r="J75" s="1">
        <f>-SUM(I74:K74)*J73</f>
        <v>14.705882352941178</v>
      </c>
      <c r="K75" s="1">
        <f>-SUM(I74:K74)*K73</f>
        <v>19.607843137254903</v>
      </c>
      <c r="L75" s="1">
        <f>-(L74+M74)*L73</f>
        <v>17.15728752538099</v>
      </c>
      <c r="M75" s="1">
        <f>-(L74+M74)*M73</f>
        <v>12.132034355964256</v>
      </c>
      <c r="N75" s="1"/>
      <c r="O75" s="1"/>
      <c r="P75" s="1"/>
    </row>
    <row r="76" spans="2:16" x14ac:dyDescent="0.25">
      <c r="B76" s="1" t="s">
        <v>42</v>
      </c>
      <c r="C76" s="1">
        <f>D75/2</f>
        <v>-1.1111111111111112</v>
      </c>
      <c r="D76" s="1"/>
      <c r="E76" s="1">
        <f>F75/2</f>
        <v>4.9019607843137258</v>
      </c>
      <c r="F76" s="1">
        <f>E75/2</f>
        <v>-1.3888888888888888</v>
      </c>
      <c r="G76" s="1"/>
      <c r="H76" s="1">
        <f>I75/2</f>
        <v>7.8431372549019605</v>
      </c>
      <c r="I76" s="1">
        <f>H75/2</f>
        <v>3.9215686274509802</v>
      </c>
      <c r="J76" s="1"/>
      <c r="K76" s="1">
        <f>L75/2</f>
        <v>8.5786437626904952</v>
      </c>
      <c r="L76" s="1">
        <f>K75/2</f>
        <v>9.8039215686274517</v>
      </c>
      <c r="M76" s="1"/>
      <c r="N76" s="1">
        <f>M75/2</f>
        <v>6.0660171779821281</v>
      </c>
      <c r="O76" s="1"/>
      <c r="P76" s="1"/>
    </row>
    <row r="77" spans="2:16" x14ac:dyDescent="0.25">
      <c r="B77" s="1" t="s">
        <v>41</v>
      </c>
      <c r="C77" s="1"/>
      <c r="D77" s="1">
        <f>-SUM(D76:E76)*D73</f>
        <v>-2.1786492374727668</v>
      </c>
      <c r="E77" s="1">
        <f>-SUM(D76:E76)*E73</f>
        <v>-2.723311546840959</v>
      </c>
      <c r="F77" s="1">
        <f>-SUM(F76:H76)*F73</f>
        <v>-2.5310777905933617</v>
      </c>
      <c r="G77" s="1">
        <f>-SUM(F76:H76)*G73</f>
        <v>-1.8983083429450212</v>
      </c>
      <c r="H77" s="1">
        <f>-SUM(F76:H76)*H73</f>
        <v>-2.0248622324746894</v>
      </c>
      <c r="I77" s="1">
        <f>-SUM(I76:K76)*I73</f>
        <v>-3.9216352596522275</v>
      </c>
      <c r="J77" s="1">
        <f>-SUM(I76:K76)*J73</f>
        <v>-3.6765330559239637</v>
      </c>
      <c r="K77" s="1">
        <f>-SUM(I76:K76)*K73</f>
        <v>-4.9020440745652847</v>
      </c>
      <c r="L77" s="1">
        <f>-(L76+M76)*L73</f>
        <v>-5.7430042904598526</v>
      </c>
      <c r="M77" s="1">
        <f>-(L76+M76)*M73</f>
        <v>-4.0609172781675991</v>
      </c>
      <c r="N77" s="1"/>
      <c r="O77" s="1"/>
      <c r="P77" s="1"/>
    </row>
    <row r="78" spans="2:16" x14ac:dyDescent="0.25">
      <c r="B78" s="1" t="s">
        <v>42</v>
      </c>
      <c r="C78" s="1">
        <f>D77/2</f>
        <v>-1.0893246187363834</v>
      </c>
      <c r="D78" s="1"/>
      <c r="E78" s="1">
        <f>F77/2</f>
        <v>-1.2655388952966808</v>
      </c>
      <c r="F78" s="1">
        <f>E77/2</f>
        <v>-1.3616557734204795</v>
      </c>
      <c r="G78" s="1"/>
      <c r="H78" s="1">
        <f>I77/2</f>
        <v>-1.9608176298261137</v>
      </c>
      <c r="I78" s="1">
        <f>H77/2</f>
        <v>-1.0124311162373447</v>
      </c>
      <c r="J78" s="1"/>
      <c r="K78" s="1">
        <f>L77/2</f>
        <v>-2.8715021452299263</v>
      </c>
      <c r="L78" s="1">
        <f>K77/2</f>
        <v>-2.4510220372826423</v>
      </c>
      <c r="M78" s="1"/>
      <c r="N78" s="1">
        <f>M77/2</f>
        <v>-2.0304586390837995</v>
      </c>
      <c r="O78" s="1"/>
      <c r="P78" s="1"/>
    </row>
    <row r="79" spans="2:16" x14ac:dyDescent="0.25">
      <c r="B79" s="1" t="s">
        <v>41</v>
      </c>
      <c r="C79" s="1"/>
      <c r="D79" s="1">
        <f>-SUM(D78:E78)*D73</f>
        <v>0.56246173124296928</v>
      </c>
      <c r="E79" s="1">
        <f>-SUM(D78:E78)*E73</f>
        <v>0.70307716405371157</v>
      </c>
      <c r="F79" s="1">
        <f>-SUM(F78:H78)*F73</f>
        <v>1.302930746371213</v>
      </c>
      <c r="G79" s="1">
        <f>-SUM(F78:H78)*G73</f>
        <v>0.97719805977840979</v>
      </c>
      <c r="H79" s="1">
        <f>-SUM(F78:H78)*H73</f>
        <v>1.0423445970969702</v>
      </c>
      <c r="I79" s="1">
        <f>-SUM(I78:K78)*I73</f>
        <v>1.2184888663426732</v>
      </c>
      <c r="J79" s="1">
        <f>-SUM(I78:K78)*J73</f>
        <v>1.1423333121962562</v>
      </c>
      <c r="K79" s="1">
        <f>-SUM(I78:K78)*K73</f>
        <v>1.5231110829283414</v>
      </c>
      <c r="L79" s="1">
        <f>-(L78+M78)*L73</f>
        <v>1.435775467764838</v>
      </c>
      <c r="M79" s="1">
        <f>-(L78+M78)*M73</f>
        <v>1.0152465695178043</v>
      </c>
      <c r="N79" s="1"/>
      <c r="O79" s="1"/>
      <c r="P79" s="1"/>
    </row>
    <row r="80" spans="2:16" x14ac:dyDescent="0.25">
      <c r="B80" s="1" t="s">
        <v>42</v>
      </c>
      <c r="C80" s="1">
        <f t="shared" ref="C80" si="34">D79/2</f>
        <v>0.28123086562148464</v>
      </c>
      <c r="D80" s="1"/>
      <c r="E80" s="1">
        <f t="shared" ref="E80" si="35">F79/2</f>
        <v>0.65146537318560649</v>
      </c>
      <c r="F80" s="1">
        <f t="shared" ref="F80" si="36">E79/2</f>
        <v>0.35153858202685578</v>
      </c>
      <c r="G80" s="1"/>
      <c r="H80" s="1">
        <f t="shared" ref="H80" si="37">I79/2</f>
        <v>0.60924443317133659</v>
      </c>
      <c r="I80" s="1">
        <f t="shared" ref="I80" si="38">H79/2</f>
        <v>0.52117229854848512</v>
      </c>
      <c r="J80" s="1"/>
      <c r="K80" s="1">
        <f t="shared" ref="K80" si="39">L79/2</f>
        <v>0.717887733882419</v>
      </c>
      <c r="L80" s="1">
        <f t="shared" ref="L80" si="40">K79/2</f>
        <v>0.7615555414641707</v>
      </c>
      <c r="M80" s="1"/>
      <c r="N80" s="1">
        <f t="shared" ref="N80" si="41">M79/2</f>
        <v>0.50762328475890217</v>
      </c>
      <c r="O80" s="1"/>
      <c r="P80" s="1"/>
    </row>
    <row r="81" spans="2:16" x14ac:dyDescent="0.25">
      <c r="B81" s="1" t="s">
        <v>41</v>
      </c>
      <c r="C81" s="1"/>
      <c r="D81" s="1">
        <f>-SUM(D80:E80)*D73</f>
        <v>-0.28954016586026954</v>
      </c>
      <c r="E81" s="1">
        <f>-SUM(D80:E80)*E73</f>
        <v>-0.36192520732533695</v>
      </c>
      <c r="F81" s="1">
        <f>-SUM(F80:H80)*F73</f>
        <v>-0.37677765301889898</v>
      </c>
      <c r="G81" s="1">
        <f>-SUM(F80:H80)*G73</f>
        <v>-0.28258323976417427</v>
      </c>
      <c r="H81" s="1">
        <f>-SUM(F80:H80)*H73</f>
        <v>-0.30142212241511918</v>
      </c>
      <c r="I81" s="1">
        <f>-SUM(I80:K80)*I73</f>
        <v>-0.38872471605675418</v>
      </c>
      <c r="J81" s="1">
        <f>-SUM(I80:K80)*J73</f>
        <v>-0.3644294213032071</v>
      </c>
      <c r="K81" s="1">
        <f>-SUM(I80:K80)*K73</f>
        <v>-0.48590589507094273</v>
      </c>
      <c r="L81" s="1">
        <f>-(L80+M80)*L73</f>
        <v>-0.44610890768932526</v>
      </c>
      <c r="M81" s="1">
        <f>-(L80+M80)*M73</f>
        <v>-0.31544663377484544</v>
      </c>
      <c r="N81" s="1"/>
      <c r="O81" s="1"/>
      <c r="P81" s="1"/>
    </row>
    <row r="82" spans="2:16" x14ac:dyDescent="0.25">
      <c r="B82" s="1" t="s">
        <v>42</v>
      </c>
      <c r="C82" s="1">
        <f t="shared" ref="C82" si="42">D81/2</f>
        <v>-0.14477008293013477</v>
      </c>
      <c r="D82" s="1"/>
      <c r="E82" s="1">
        <f t="shared" ref="E82" si="43">F81/2</f>
        <v>-0.18838882650944949</v>
      </c>
      <c r="F82" s="1">
        <f t="shared" ref="F82" si="44">E81/2</f>
        <v>-0.18096260366266848</v>
      </c>
      <c r="G82" s="1"/>
      <c r="H82" s="1">
        <f t="shared" ref="H82" si="45">I81/2</f>
        <v>-0.19436235802837709</v>
      </c>
      <c r="I82" s="1">
        <f t="shared" ref="I82" si="46">H81/2</f>
        <v>-0.15071106120755959</v>
      </c>
      <c r="J82" s="1"/>
      <c r="K82" s="1">
        <f t="shared" ref="K82" si="47">L81/2</f>
        <v>-0.22305445384466263</v>
      </c>
      <c r="L82" s="1">
        <f t="shared" ref="L82" si="48">K81/2</f>
        <v>-0.24295294753547136</v>
      </c>
      <c r="M82" s="1"/>
      <c r="N82" s="1">
        <f t="shared" ref="N82" si="49">M81/2</f>
        <v>-0.15772331688742272</v>
      </c>
      <c r="O82" s="1"/>
      <c r="P82" s="1"/>
    </row>
    <row r="83" spans="2:16" x14ac:dyDescent="0.25">
      <c r="B83" s="1" t="s">
        <v>41</v>
      </c>
      <c r="C83" s="1"/>
      <c r="D83" s="1">
        <f>-SUM(D82:E82)*D73</f>
        <v>8.3728367337533097E-2</v>
      </c>
      <c r="E83" s="1">
        <f>-SUM(D82:E82)*E73</f>
        <v>0.1046604591719164</v>
      </c>
      <c r="F83" s="1">
        <f>-SUM(F82:H82)*F73</f>
        <v>0.14718625948668454</v>
      </c>
      <c r="G83" s="1">
        <f>-SUM(F82:H82)*G73</f>
        <v>0.11038969461501341</v>
      </c>
      <c r="H83" s="1">
        <f>-SUM(F82:H82)*H73</f>
        <v>0.11774900758934763</v>
      </c>
      <c r="I83" s="1">
        <f>-SUM(I82:K82)*I73</f>
        <v>0.11725976942814814</v>
      </c>
      <c r="J83" s="1">
        <f>-SUM(I82:K82)*J73</f>
        <v>0.10993103383888889</v>
      </c>
      <c r="K83" s="1">
        <f>-SUM(I82:K82)*K73</f>
        <v>0.14657471178518519</v>
      </c>
      <c r="L83" s="1">
        <f>-(L82+M82)*L73</f>
        <v>0.14231854164776012</v>
      </c>
      <c r="M83" s="1">
        <f>-(L82+M82)*M73</f>
        <v>0.10063440588771125</v>
      </c>
      <c r="N83" s="1"/>
      <c r="O83" s="1"/>
      <c r="P83" s="1"/>
    </row>
    <row r="84" spans="2:16" x14ac:dyDescent="0.25">
      <c r="B84" s="1" t="s">
        <v>42</v>
      </c>
      <c r="C84" s="1">
        <f t="shared" ref="C84" si="50">D83/2</f>
        <v>4.1864183668766548E-2</v>
      </c>
      <c r="D84" s="1"/>
      <c r="E84" s="1">
        <f t="shared" ref="E84" si="51">F83/2</f>
        <v>7.359312974334227E-2</v>
      </c>
      <c r="F84" s="1">
        <f t="shared" ref="F84" si="52">E83/2</f>
        <v>5.2330229585958198E-2</v>
      </c>
      <c r="G84" s="1"/>
      <c r="H84" s="1">
        <f t="shared" ref="H84" si="53">I83/2</f>
        <v>5.8629884714074071E-2</v>
      </c>
      <c r="I84" s="1">
        <f t="shared" ref="I84" si="54">H83/2</f>
        <v>5.8874503794673815E-2</v>
      </c>
      <c r="J84" s="1"/>
      <c r="K84" s="1">
        <f t="shared" ref="K84" si="55">L83/2</f>
        <v>7.1159270823880058E-2</v>
      </c>
      <c r="L84" s="1">
        <f t="shared" ref="L84" si="56">K83/2</f>
        <v>7.3287355892592596E-2</v>
      </c>
      <c r="M84" s="1"/>
      <c r="N84" s="1">
        <f t="shared" ref="N84" si="57">M83/2</f>
        <v>5.0317202943855624E-2</v>
      </c>
      <c r="O84" s="1"/>
      <c r="P84" s="1"/>
    </row>
    <row r="85" spans="2:16" x14ac:dyDescent="0.25">
      <c r="B85" s="1" t="s">
        <v>41</v>
      </c>
      <c r="C85" s="1"/>
      <c r="D85" s="1">
        <f>-SUM(D84:E84)*D73</f>
        <v>-3.2708057663707671E-2</v>
      </c>
      <c r="E85" s="1">
        <f>-SUM(D84:E84)*E73</f>
        <v>-4.0885072079634599E-2</v>
      </c>
      <c r="F85" s="1">
        <f>-SUM(F84:H84)*F73</f>
        <v>-4.3513770313738147E-2</v>
      </c>
      <c r="G85" s="1">
        <f>-SUM(F84:H84)*G73</f>
        <v>-3.2635327735303608E-2</v>
      </c>
      <c r="H85" s="1">
        <f>-SUM(F84:H84)*H73</f>
        <v>-3.481101625099052E-2</v>
      </c>
      <c r="I85" s="1">
        <f>-SUM(I84:K84)*I73</f>
        <v>-4.0794909684252194E-2</v>
      </c>
      <c r="J85" s="1">
        <f>-SUM(I84:K84)*J73</f>
        <v>-3.8245227828986435E-2</v>
      </c>
      <c r="K85" s="1">
        <f>-SUM(I84:K84)*K73</f>
        <v>-5.0993637105315244E-2</v>
      </c>
      <c r="L85" s="1">
        <f>-(L84+M84)*L73</f>
        <v>-4.2930739131416977E-2</v>
      </c>
      <c r="M85" s="1">
        <f>-(L84+M84)*M73</f>
        <v>-3.0356616761175619E-2</v>
      </c>
      <c r="N85" s="1"/>
      <c r="O85" s="1"/>
      <c r="P85" s="1"/>
    </row>
    <row r="86" spans="2:16" x14ac:dyDescent="0.25">
      <c r="B86" s="1" t="s">
        <v>42</v>
      </c>
      <c r="C86" s="1">
        <f t="shared" ref="C86" si="58">D85/2</f>
        <v>-1.6354028831853835E-2</v>
      </c>
      <c r="D86" s="1"/>
      <c r="E86" s="1">
        <f t="shared" ref="E86" si="59">F85/2</f>
        <v>-2.1756885156869073E-2</v>
      </c>
      <c r="F86" s="1">
        <f t="shared" ref="F86" si="60">E85/2</f>
        <v>-2.0442536039817299E-2</v>
      </c>
      <c r="G86" s="1"/>
      <c r="H86" s="1">
        <f t="shared" ref="H86" si="61">I85/2</f>
        <v>-2.0397454842126097E-2</v>
      </c>
      <c r="I86" s="1">
        <f t="shared" ref="I86" si="62">H85/2</f>
        <v>-1.740550812549526E-2</v>
      </c>
      <c r="J86" s="1"/>
      <c r="K86" s="1">
        <f t="shared" ref="K86" si="63">L85/2</f>
        <v>-2.1465369565708489E-2</v>
      </c>
      <c r="L86" s="1">
        <f t="shared" ref="L86" si="64">K85/2</f>
        <v>-2.5496818552657622E-2</v>
      </c>
      <c r="M86" s="1"/>
      <c r="N86" s="1">
        <f t="shared" ref="N86" si="65">M85/2</f>
        <v>-1.5178308380587809E-2</v>
      </c>
      <c r="O86" s="1"/>
      <c r="P86" s="1"/>
    </row>
    <row r="87" spans="2:16" x14ac:dyDescent="0.25">
      <c r="B87" s="1" t="s">
        <v>41</v>
      </c>
      <c r="C87" s="1"/>
      <c r="D87" s="1">
        <f>-SUM(D86:E86)*D73</f>
        <v>9.6697267363862541E-3</v>
      </c>
      <c r="E87" s="1">
        <f>-SUM(D86:E86)*E73</f>
        <v>1.2087158420482819E-2</v>
      </c>
      <c r="F87" s="1">
        <f>-SUM(F86:H86)*F73</f>
        <v>1.6015682698801333E-2</v>
      </c>
      <c r="G87" s="1">
        <f>-SUM(F86:H86)*G73</f>
        <v>1.2011762024101001E-2</v>
      </c>
      <c r="H87" s="1">
        <f>-SUM(F86:H86)*H73</f>
        <v>1.2812546159041066E-2</v>
      </c>
      <c r="I87" s="1">
        <f>-SUM(I86:K86)*I73</f>
        <v>1.2194785158024704E-2</v>
      </c>
      <c r="J87" s="1">
        <f>-SUM(I86:K86)*J73</f>
        <v>1.1432611085648161E-2</v>
      </c>
      <c r="K87" s="1">
        <f>-SUM(I86:K86)*K73</f>
        <v>1.524348144753088E-2</v>
      </c>
      <c r="L87" s="1">
        <f>-(L86+M86)*L73</f>
        <v>1.4935690510780888E-2</v>
      </c>
      <c r="M87" s="1">
        <f>-(L86+M86)*M73</f>
        <v>1.0561128041876734E-2</v>
      </c>
      <c r="N87" s="1"/>
      <c r="O87" s="1"/>
      <c r="P87" s="1"/>
    </row>
    <row r="88" spans="2:1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5">
      <c r="B89" s="1" t="s">
        <v>39</v>
      </c>
      <c r="C89" s="1" t="s">
        <v>43</v>
      </c>
      <c r="D89" s="1" t="s">
        <v>44</v>
      </c>
      <c r="E89" s="1" t="s">
        <v>45</v>
      </c>
      <c r="F89" s="1" t="s">
        <v>46</v>
      </c>
      <c r="G89" s="1" t="s">
        <v>47</v>
      </c>
      <c r="H89" s="1" t="s">
        <v>48</v>
      </c>
      <c r="I89" s="1" t="s">
        <v>49</v>
      </c>
      <c r="J89" s="1" t="s">
        <v>50</v>
      </c>
      <c r="K89" s="1" t="s">
        <v>51</v>
      </c>
      <c r="L89" s="1" t="s">
        <v>52</v>
      </c>
      <c r="M89" s="1" t="s">
        <v>53</v>
      </c>
      <c r="N89" s="1" t="s">
        <v>54</v>
      </c>
      <c r="O89" s="1" t="s">
        <v>55</v>
      </c>
      <c r="P89" s="1" t="s">
        <v>56</v>
      </c>
    </row>
    <row r="90" spans="2:16" x14ac:dyDescent="0.25">
      <c r="B90" s="3" t="s">
        <v>92</v>
      </c>
      <c r="C90" s="1">
        <f>SUM(C74:C87)</f>
        <v>77.961535207680754</v>
      </c>
      <c r="D90" s="1">
        <f t="shared" ref="D90:N90" si="66">SUM(D74:D87)</f>
        <v>75.932740142097913</v>
      </c>
      <c r="E90" s="1">
        <f t="shared" si="66"/>
        <v>-75.932740142097941</v>
      </c>
      <c r="F90" s="1">
        <f t="shared" si="66"/>
        <v>-69.229395947140858</v>
      </c>
      <c r="G90" s="1">
        <f t="shared" si="66"/>
        <v>56.239013782443614</v>
      </c>
      <c r="H90" s="1">
        <f t="shared" si="66"/>
        <v>12.990382164697278</v>
      </c>
      <c r="I90" s="1">
        <f t="shared" si="66"/>
        <v>16.00413078956327</v>
      </c>
      <c r="J90" s="1">
        <f t="shared" si="66"/>
        <v>61.890371605005811</v>
      </c>
      <c r="K90" s="1">
        <f t="shared" si="66"/>
        <v>-77.894502394569088</v>
      </c>
      <c r="L90" s="1">
        <f t="shared" si="66"/>
        <v>-79.562434049362778</v>
      </c>
      <c r="M90" s="1">
        <f t="shared" si="66"/>
        <v>79.562434049362778</v>
      </c>
      <c r="N90" s="1">
        <f t="shared" si="66"/>
        <v>75.131275519987838</v>
      </c>
      <c r="O90" s="1">
        <v>0</v>
      </c>
      <c r="P90" s="1">
        <v>0</v>
      </c>
    </row>
    <row r="91" spans="2:1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25">
      <c r="B92" s="1" t="s">
        <v>93</v>
      </c>
      <c r="C92" s="1"/>
      <c r="D92" s="1"/>
      <c r="E92" s="1">
        <f>(-SUM(E90:F90)/L_BC)</f>
        <v>36.2905340223097</v>
      </c>
      <c r="F92" s="1">
        <f>(-SUM(E90:F90)/L_BC)</f>
        <v>36.2905340223097</v>
      </c>
      <c r="G92" s="1">
        <f>-G90/L_CD</f>
        <v>-14.059753445610903</v>
      </c>
      <c r="H92" s="1">
        <f>-(SUM(H90:I90)/L_CE)</f>
        <v>-5.7989025908521104</v>
      </c>
      <c r="I92" s="1">
        <f>-(SUM(H90:I90)/L_CE)</f>
        <v>-5.7989025908521104</v>
      </c>
      <c r="J92" s="1">
        <f>-J90/L_EF</f>
        <v>-15.472592901251453</v>
      </c>
      <c r="K92" s="1">
        <f>-(SUM(K90:L90)/L_EG)</f>
        <v>39.364234110982963</v>
      </c>
      <c r="L92" s="1">
        <f>-(SUM(K90:L90)/L_EG)</f>
        <v>39.364234110982963</v>
      </c>
      <c r="M92" s="1"/>
      <c r="N92" s="1"/>
      <c r="O92" s="1"/>
      <c r="P92" s="1"/>
    </row>
    <row r="93" spans="2:1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25">
      <c r="B94" s="1"/>
      <c r="C94" s="1" t="s">
        <v>60</v>
      </c>
      <c r="D94" s="1"/>
      <c r="E94" s="1"/>
      <c r="F94" s="1"/>
      <c r="G94" s="1" t="s">
        <v>63</v>
      </c>
      <c r="H94" s="1"/>
      <c r="I94" s="1"/>
      <c r="J94" s="1" t="s">
        <v>64</v>
      </c>
      <c r="K94" s="1"/>
      <c r="L94" s="1"/>
      <c r="M94" s="1" t="s">
        <v>62</v>
      </c>
      <c r="N94" s="1" t="s">
        <v>61</v>
      </c>
      <c r="O94" s="1"/>
      <c r="P94" s="1"/>
    </row>
    <row r="95" spans="2:16" x14ac:dyDescent="0.25">
      <c r="B95" s="1"/>
      <c r="C95" s="1">
        <f>-((SUM(C90:D90)+E92*S1_)/H1_)</f>
        <v>-65.691469354176945</v>
      </c>
      <c r="D95" s="1"/>
      <c r="E95" s="1"/>
      <c r="F95" s="1"/>
      <c r="G95" s="1">
        <f>G92</f>
        <v>-14.059753445610903</v>
      </c>
      <c r="H95" s="1"/>
      <c r="I95" s="1"/>
      <c r="J95" s="1">
        <f>J92</f>
        <v>-15.472592901251453</v>
      </c>
      <c r="K95" s="1"/>
      <c r="L95" s="1"/>
      <c r="M95" s="1">
        <f>L92</f>
        <v>39.364234110982963</v>
      </c>
      <c r="N95" s="1">
        <f>-(SUM(M90:N90)+(M95*S3_))/H1_</f>
        <v>-78.037661503320621</v>
      </c>
      <c r="O95" s="1"/>
      <c r="P95" s="1"/>
    </row>
    <row r="96" spans="2:16" x14ac:dyDescent="0.25">
      <c r="B96" s="1"/>
      <c r="C96" s="1" t="s">
        <v>7</v>
      </c>
      <c r="D96" s="1"/>
      <c r="E96" s="1"/>
      <c r="F96" s="1"/>
      <c r="G96" s="1" t="s">
        <v>7</v>
      </c>
      <c r="H96" s="1"/>
      <c r="I96" s="1"/>
      <c r="J96" s="1" t="s">
        <v>7</v>
      </c>
      <c r="K96" s="1"/>
      <c r="L96" s="1"/>
      <c r="M96" s="1" t="s">
        <v>7</v>
      </c>
      <c r="N96" s="1" t="s">
        <v>7</v>
      </c>
      <c r="O96" s="1"/>
      <c r="P96" s="1"/>
    </row>
    <row r="97" spans="1:1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t="s">
        <v>76</v>
      </c>
      <c r="B99" s="1">
        <f>-SUM(N95,J95,G95,C95)</f>
        <v>173.26147720435992</v>
      </c>
      <c r="C99" s="1" t="s">
        <v>7</v>
      </c>
      <c r="D99" s="3" t="s">
        <v>71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2" spans="1:16" ht="15.75" thickBot="1" x14ac:dyDescent="0.3"/>
    <row r="103" spans="1:16" ht="16.5" thickTop="1" thickBot="1" x14ac:dyDescent="0.3">
      <c r="A103" s="10" t="s">
        <v>72</v>
      </c>
    </row>
    <row r="104" spans="1:16" ht="15.75" thickTop="1" x14ac:dyDescent="0.25"/>
    <row r="106" spans="1:16" x14ac:dyDescent="0.25">
      <c r="B106" s="1" t="s">
        <v>39</v>
      </c>
      <c r="C106" s="1" t="s">
        <v>43</v>
      </c>
      <c r="D106" s="1" t="s">
        <v>44</v>
      </c>
      <c r="E106" s="1" t="s">
        <v>45</v>
      </c>
      <c r="F106" s="1" t="s">
        <v>46</v>
      </c>
      <c r="G106" s="1" t="s">
        <v>47</v>
      </c>
      <c r="H106" s="1" t="s">
        <v>48</v>
      </c>
      <c r="I106" s="1" t="s">
        <v>49</v>
      </c>
      <c r="J106" s="1" t="s">
        <v>50</v>
      </c>
      <c r="K106" s="1" t="s">
        <v>51</v>
      </c>
      <c r="L106" s="1" t="s">
        <v>52</v>
      </c>
      <c r="M106" s="1" t="s">
        <v>53</v>
      </c>
      <c r="N106" s="1" t="s">
        <v>54</v>
      </c>
      <c r="O106" s="1" t="s">
        <v>55</v>
      </c>
      <c r="P106" s="1" t="s">
        <v>56</v>
      </c>
    </row>
    <row r="107" spans="1:16" x14ac:dyDescent="0.25">
      <c r="B107" t="s">
        <v>74</v>
      </c>
      <c r="C107">
        <f t="shared" ref="C107:P107" si="67">C35</f>
        <v>-10.445064471359546</v>
      </c>
      <c r="D107">
        <f t="shared" si="67"/>
        <v>11.108776256823971</v>
      </c>
      <c r="E107">
        <f t="shared" si="67"/>
        <v>-11.108776256823971</v>
      </c>
      <c r="F107">
        <f t="shared" si="67"/>
        <v>16.955595140235342</v>
      </c>
      <c r="G107">
        <f t="shared" si="67"/>
        <v>2.5089442970760829</v>
      </c>
      <c r="H107">
        <f t="shared" si="67"/>
        <v>-19.46453943731143</v>
      </c>
      <c r="I107">
        <f t="shared" si="67"/>
        <v>19.55461971693823</v>
      </c>
      <c r="J107">
        <f t="shared" si="67"/>
        <v>-2.4527340819799601</v>
      </c>
      <c r="K107">
        <f t="shared" si="67"/>
        <v>-17.101885634958268</v>
      </c>
      <c r="L107">
        <f t="shared" si="67"/>
        <v>10.703776445909147</v>
      </c>
      <c r="M107">
        <f t="shared" si="67"/>
        <v>-0.70377644590915012</v>
      </c>
      <c r="N107">
        <f t="shared" si="67"/>
        <v>-0.35230901864797565</v>
      </c>
      <c r="O107">
        <f t="shared" si="67"/>
        <v>0</v>
      </c>
      <c r="P107">
        <f t="shared" si="67"/>
        <v>0</v>
      </c>
    </row>
    <row r="108" spans="1:16" x14ac:dyDescent="0.25">
      <c r="B108" t="s">
        <v>75</v>
      </c>
      <c r="C108">
        <f t="shared" ref="C108:P108" si="68">C90</f>
        <v>77.961535207680754</v>
      </c>
      <c r="D108">
        <f t="shared" si="68"/>
        <v>75.932740142097913</v>
      </c>
      <c r="E108">
        <f t="shared" si="68"/>
        <v>-75.932740142097941</v>
      </c>
      <c r="F108">
        <f t="shared" si="68"/>
        <v>-69.229395947140858</v>
      </c>
      <c r="G108">
        <f t="shared" si="68"/>
        <v>56.239013782443614</v>
      </c>
      <c r="H108">
        <f t="shared" si="68"/>
        <v>12.990382164697278</v>
      </c>
      <c r="I108">
        <f t="shared" si="68"/>
        <v>16.00413078956327</v>
      </c>
      <c r="J108">
        <f t="shared" si="68"/>
        <v>61.890371605005811</v>
      </c>
      <c r="K108">
        <f t="shared" si="68"/>
        <v>-77.894502394569088</v>
      </c>
      <c r="L108">
        <f t="shared" si="68"/>
        <v>-79.562434049362778</v>
      </c>
      <c r="M108">
        <f t="shared" si="68"/>
        <v>79.562434049362778</v>
      </c>
      <c r="N108">
        <f t="shared" si="68"/>
        <v>75.131275519987838</v>
      </c>
      <c r="O108">
        <f t="shared" si="68"/>
        <v>0</v>
      </c>
      <c r="P108">
        <f t="shared" si="68"/>
        <v>0</v>
      </c>
    </row>
    <row r="109" spans="1:16" x14ac:dyDescent="0.25">
      <c r="B109" t="s">
        <v>73</v>
      </c>
      <c r="C109">
        <f>(ABS(B44/B99)*C108)+C107</f>
        <v>-9.806471128412575</v>
      </c>
      <c r="D109">
        <f>(ABS(B44/B99)*D108)+D107</f>
        <v>11.730751468539513</v>
      </c>
      <c r="E109">
        <f>(ABS(B44/B99)*E108)+E107</f>
        <v>-11.730751468539514</v>
      </c>
      <c r="F109">
        <f>(ABS(B44/B99)*F108)+F107</f>
        <v>16.388527915733988</v>
      </c>
      <c r="G109">
        <f>(ABS(B44/B99)*G108)+G107</f>
        <v>2.9696055670177404</v>
      </c>
      <c r="H109">
        <f>(ABS(B44/B99)*H108)+H107</f>
        <v>-19.358133482751732</v>
      </c>
      <c r="I109">
        <f>(ABS(B44/B99)*I108)+I107</f>
        <v>19.685711688827219</v>
      </c>
      <c r="J109">
        <f>(ABS(B44/B99)*J108)+J107</f>
        <v>-1.9457817856432253</v>
      </c>
      <c r="K109">
        <f>(ABS(B44/B99)*K108)+K107</f>
        <v>-17.739929903183992</v>
      </c>
      <c r="L109">
        <f>(ABS(B44/B99)*L108)+L107</f>
        <v>10.05206992682594</v>
      </c>
      <c r="M109">
        <f>(ABS(B44/B99)*M108)+M107</f>
        <v>-5.2069926825943247E-2</v>
      </c>
      <c r="N109">
        <f>(ABS(B44/B99)*N108)+N107</f>
        <v>0.26310128935032245</v>
      </c>
      <c r="O109">
        <f>(ABS(B44/B99)*O108)+O107</f>
        <v>0</v>
      </c>
      <c r="P109">
        <f>(ABS(B44/B99)*P108)+P107</f>
        <v>0</v>
      </c>
    </row>
    <row r="111" spans="1:16" x14ac:dyDescent="0.25">
      <c r="B111" t="s">
        <v>58</v>
      </c>
      <c r="E111">
        <f>(-SUM(E109:F109)/L_BC)+(0.5*F52*L_BC)</f>
        <v>18.83555588820138</v>
      </c>
      <c r="F111">
        <f>(-SUM(E109:F109)/L_BC)-(0.5*F52*L_BC)</f>
        <v>-21.16444411179862</v>
      </c>
      <c r="G111">
        <f>-G109/L_CD</f>
        <v>-0.74240139175443509</v>
      </c>
      <c r="H111">
        <f>(-SUM(H109:I109)/L_CE)+(0.5*F52*L_CE)</f>
        <v>24.934484358784903</v>
      </c>
      <c r="I111">
        <f>(-SUM(H109:I109)/L_CE)-(0.5*F52*L_CE)</f>
        <v>-25.065515641215097</v>
      </c>
      <c r="J111">
        <f>-J109/L_EF</f>
        <v>0.48644544641080634</v>
      </c>
      <c r="K111">
        <f>(-SUM(K109:L109)/L_EG)+(0.5*F52*L_EG)</f>
        <v>21.921964994089514</v>
      </c>
      <c r="L111">
        <f>(-SUM(K109:L109)/L_EG)-(0.5*F52*L_EG)</f>
        <v>-18.078035005910486</v>
      </c>
    </row>
    <row r="113" spans="2:16" x14ac:dyDescent="0.25">
      <c r="C113" t="s">
        <v>60</v>
      </c>
      <c r="D113" t="s">
        <v>84</v>
      </c>
      <c r="M113" t="s">
        <v>85</v>
      </c>
      <c r="N113" t="s">
        <v>61</v>
      </c>
      <c r="O113" t="s">
        <v>63</v>
      </c>
      <c r="P113" t="s">
        <v>64</v>
      </c>
    </row>
    <row r="114" spans="2:16" x14ac:dyDescent="0.25">
      <c r="C114">
        <f>-(SUM(C109:D109)+(E111*S1_)-(D3*H1_*H1_*0.5))/H1_</f>
        <v>1.3922629988172304</v>
      </c>
      <c r="D114">
        <f>C114-(LW*H1_)</f>
        <v>-30.60773700118277</v>
      </c>
      <c r="M114">
        <f>-(SUM(M109:N109)+(M116*S3_))/H1_</f>
        <v>28.025277165279391</v>
      </c>
      <c r="N114">
        <f>-(SUM(M109:N109)+(M116*S3_))/H1_</f>
        <v>28.025277165279391</v>
      </c>
      <c r="O114">
        <f>G111</f>
        <v>-0.74240139175443509</v>
      </c>
      <c r="P114">
        <f>J111</f>
        <v>0.48644544641080634</v>
      </c>
    </row>
    <row r="115" spans="2:16" x14ac:dyDescent="0.25">
      <c r="C115" t="s">
        <v>78</v>
      </c>
      <c r="D115" t="s">
        <v>86</v>
      </c>
      <c r="M115" t="s">
        <v>83</v>
      </c>
      <c r="N115" t="s">
        <v>81</v>
      </c>
    </row>
    <row r="116" spans="2:16" x14ac:dyDescent="0.25">
      <c r="C116">
        <f>E111</f>
        <v>18.83555588820138</v>
      </c>
      <c r="D116">
        <f>E111</f>
        <v>18.83555588820138</v>
      </c>
      <c r="M116">
        <f>L111-(E52*2)</f>
        <v>-28.078035005910486</v>
      </c>
      <c r="N116">
        <f>M116</f>
        <v>-28.078035005910486</v>
      </c>
    </row>
    <row r="119" spans="2:16" x14ac:dyDescent="0.25">
      <c r="C119" t="s">
        <v>60</v>
      </c>
      <c r="N119" t="s">
        <v>61</v>
      </c>
      <c r="O119" t="s">
        <v>63</v>
      </c>
      <c r="P119" t="s">
        <v>64</v>
      </c>
    </row>
    <row r="120" spans="2:16" x14ac:dyDescent="0.25">
      <c r="C120">
        <f>-C114</f>
        <v>-1.3922629988172304</v>
      </c>
      <c r="N120">
        <f>-N114</f>
        <v>-28.025277165279391</v>
      </c>
      <c r="O120">
        <f>-O114</f>
        <v>0.74240139175443509</v>
      </c>
      <c r="P120">
        <f>-P114</f>
        <v>-0.48644544641080634</v>
      </c>
    </row>
    <row r="121" spans="2:16" x14ac:dyDescent="0.25">
      <c r="C121" t="s">
        <v>78</v>
      </c>
      <c r="N121" t="s">
        <v>81</v>
      </c>
      <c r="O121" t="s">
        <v>79</v>
      </c>
      <c r="P121" t="s">
        <v>80</v>
      </c>
    </row>
    <row r="122" spans="2:16" x14ac:dyDescent="0.25">
      <c r="C122">
        <f>C116</f>
        <v>18.83555588820138</v>
      </c>
      <c r="N122">
        <f>-N116</f>
        <v>28.078035005910486</v>
      </c>
      <c r="O122">
        <f>H111-F111</f>
        <v>46.098928470583523</v>
      </c>
      <c r="P122">
        <f>K111-I111</f>
        <v>46.987480635304607</v>
      </c>
    </row>
    <row r="123" spans="2:16" x14ac:dyDescent="0.25">
      <c r="C123" t="s">
        <v>5</v>
      </c>
      <c r="N123" t="s">
        <v>6</v>
      </c>
    </row>
    <row r="124" spans="2:16" x14ac:dyDescent="0.25">
      <c r="C124">
        <f>C109*-1</f>
        <v>9.806471128412575</v>
      </c>
      <c r="D124" t="s">
        <v>82</v>
      </c>
      <c r="N124">
        <f>-N109</f>
        <v>-0.26310128935032245</v>
      </c>
    </row>
    <row r="127" spans="2:16" x14ac:dyDescent="0.25">
      <c r="B127" t="s">
        <v>94</v>
      </c>
      <c r="D127" t="s">
        <v>96</v>
      </c>
      <c r="N127" t="s">
        <v>98</v>
      </c>
    </row>
    <row r="128" spans="2:16" x14ac:dyDescent="0.25">
      <c r="B128">
        <f>(C114*H1_/L_AB)+(C116*S1_/L_AB)</f>
        <v>12.415143931974612</v>
      </c>
      <c r="D128">
        <f>LW*H1_*H1_/L_AB/L_AB</f>
        <v>5.12</v>
      </c>
      <c r="N128">
        <f>(N116*S3_/L_GH)+(N114*H1_/L_GH)</f>
        <v>-3.7305426871007796E-2</v>
      </c>
    </row>
    <row r="129" spans="2:26" x14ac:dyDescent="0.25">
      <c r="B129" t="s">
        <v>95</v>
      </c>
      <c r="D129" t="s">
        <v>97</v>
      </c>
      <c r="N129" t="s">
        <v>99</v>
      </c>
    </row>
    <row r="130" spans="2:26" x14ac:dyDescent="0.25">
      <c r="B130">
        <f>(C114*S1_/L_AB)-(C116*H1_/L_AB)</f>
        <v>-14.233086911270766</v>
      </c>
      <c r="D130">
        <f>LW*H1_*S1_/L_AB/L_AB</f>
        <v>3.84</v>
      </c>
      <c r="N130">
        <f>(N116*H1_/L_GH)-(N114*S3_/L_GH)</f>
        <v>-39.671032483274125</v>
      </c>
    </row>
    <row r="133" spans="2:26" x14ac:dyDescent="0.25">
      <c r="Z133" s="1"/>
    </row>
    <row r="134" spans="2:26" x14ac:dyDescent="0.25">
      <c r="Z134" s="1"/>
    </row>
    <row r="135" spans="2:26" x14ac:dyDescent="0.25">
      <c r="Z135" s="1"/>
    </row>
    <row r="136" spans="2:26" x14ac:dyDescent="0.25">
      <c r="Z136" s="1"/>
    </row>
    <row r="137" spans="2:26" x14ac:dyDescent="0.25">
      <c r="Z137" s="1"/>
    </row>
    <row r="138" spans="2:26" x14ac:dyDescent="0.25">
      <c r="Z138" s="1"/>
    </row>
    <row r="139" spans="2:26" x14ac:dyDescent="0.25">
      <c r="Z139" s="1"/>
    </row>
    <row r="140" spans="2:26" x14ac:dyDescent="0.25">
      <c r="Z140" s="1"/>
    </row>
    <row r="141" spans="2:26" x14ac:dyDescent="0.25">
      <c r="Z141" s="1"/>
    </row>
    <row r="142" spans="2:26" x14ac:dyDescent="0.25">
      <c r="Z142" s="1"/>
    </row>
    <row r="143" spans="2:26" x14ac:dyDescent="0.25">
      <c r="Z143" s="1"/>
    </row>
    <row r="144" spans="2:26" x14ac:dyDescent="0.25">
      <c r="Z144" s="1"/>
    </row>
    <row r="145" spans="1:27" x14ac:dyDescent="0.25">
      <c r="Z145" s="1"/>
    </row>
    <row r="146" spans="1:27" x14ac:dyDescent="0.25">
      <c r="Z146" s="1"/>
    </row>
    <row r="147" spans="1:27" x14ac:dyDescent="0.25">
      <c r="Z147" s="1"/>
    </row>
    <row r="148" spans="1:27" x14ac:dyDescent="0.25">
      <c r="Z148" s="1"/>
    </row>
    <row r="149" spans="1:27" ht="15.75" thickBot="1" x14ac:dyDescent="0.3">
      <c r="Z149" s="1"/>
    </row>
    <row r="150" spans="1:27" ht="16.5" thickTop="1" thickBot="1" x14ac:dyDescent="0.3">
      <c r="A150" s="10" t="s">
        <v>148</v>
      </c>
      <c r="Z150" s="1"/>
    </row>
    <row r="151" spans="1:27" ht="15.75" thickTop="1" x14ac:dyDescent="0.25">
      <c r="Z151" s="1"/>
    </row>
    <row r="152" spans="1:27" x14ac:dyDescent="0.25">
      <c r="Z152" s="1"/>
    </row>
    <row r="153" spans="1:27" x14ac:dyDescent="0.25">
      <c r="B153" s="1" t="s">
        <v>39</v>
      </c>
      <c r="C153" s="1" t="s">
        <v>43</v>
      </c>
      <c r="D153" s="1" t="s">
        <v>44</v>
      </c>
      <c r="E153" s="1" t="s">
        <v>45</v>
      </c>
      <c r="F153" s="1" t="s">
        <v>46</v>
      </c>
      <c r="G153" s="1" t="s">
        <v>47</v>
      </c>
      <c r="H153" s="1" t="s">
        <v>48</v>
      </c>
      <c r="I153" s="1" t="s">
        <v>49</v>
      </c>
      <c r="J153" s="1" t="s">
        <v>50</v>
      </c>
      <c r="K153" s="1" t="s">
        <v>51</v>
      </c>
      <c r="L153" s="1" t="s">
        <v>52</v>
      </c>
      <c r="M153" s="1" t="s">
        <v>53</v>
      </c>
      <c r="N153" s="1" t="s">
        <v>54</v>
      </c>
      <c r="O153" s="1" t="s">
        <v>55</v>
      </c>
      <c r="P153" s="1" t="s">
        <v>56</v>
      </c>
      <c r="Z153" s="1"/>
    </row>
    <row r="154" spans="1:27" x14ac:dyDescent="0.25">
      <c r="B154" t="s">
        <v>74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f t="shared" ref="O154" si="69">O82</f>
        <v>0</v>
      </c>
      <c r="P154">
        <v>0</v>
      </c>
      <c r="Z154" s="1"/>
    </row>
    <row r="155" spans="1:27" x14ac:dyDescent="0.25">
      <c r="B155" t="s">
        <v>75</v>
      </c>
      <c r="C155">
        <f>C90</f>
        <v>77.961535207680754</v>
      </c>
      <c r="D155">
        <f t="shared" ref="D155:P155" si="70">D90</f>
        <v>75.932740142097913</v>
      </c>
      <c r="E155">
        <f t="shared" si="70"/>
        <v>-75.932740142097941</v>
      </c>
      <c r="F155">
        <f t="shared" si="70"/>
        <v>-69.229395947140858</v>
      </c>
      <c r="G155">
        <f t="shared" si="70"/>
        <v>56.239013782443614</v>
      </c>
      <c r="H155">
        <f t="shared" si="70"/>
        <v>12.990382164697278</v>
      </c>
      <c r="I155">
        <f t="shared" si="70"/>
        <v>16.00413078956327</v>
      </c>
      <c r="J155">
        <f t="shared" si="70"/>
        <v>61.890371605005811</v>
      </c>
      <c r="K155">
        <f t="shared" si="70"/>
        <v>-77.894502394569088</v>
      </c>
      <c r="L155">
        <f t="shared" si="70"/>
        <v>-79.562434049362778</v>
      </c>
      <c r="M155">
        <f t="shared" si="70"/>
        <v>79.562434049362778</v>
      </c>
      <c r="N155">
        <f t="shared" si="70"/>
        <v>75.131275519987838</v>
      </c>
      <c r="O155">
        <f t="shared" si="70"/>
        <v>0</v>
      </c>
      <c r="P155">
        <f t="shared" si="70"/>
        <v>0</v>
      </c>
      <c r="Z155" s="1"/>
    </row>
    <row r="156" spans="1:27" x14ac:dyDescent="0.25">
      <c r="B156" t="s">
        <v>73</v>
      </c>
      <c r="C156">
        <f>(ABS(1/B99)*C155)+C154</f>
        <v>0.44996462263637532</v>
      </c>
      <c r="D156">
        <f>(ABS(1/B99)*D155)+D154</f>
        <v>0.43825518151698617</v>
      </c>
      <c r="E156">
        <f>(ABS(1/B99)*E155)+E154</f>
        <v>-0.43825518151698634</v>
      </c>
      <c r="F156">
        <f>(ABS(1/B99)*F155)+F154</f>
        <v>-0.39956600315421287</v>
      </c>
      <c r="G156">
        <f>(ABS(1/B99)*G155)+G154</f>
        <v>0.32459040918894133</v>
      </c>
      <c r="H156">
        <f>(ABS(1/B99)*H155)+H154</f>
        <v>7.4975593965271758E-2</v>
      </c>
      <c r="I156">
        <f>(ABS(1/B99)*I155)+I154</f>
        <v>9.236981611721215E-2</v>
      </c>
      <c r="J156">
        <f>(ABS(1/B99)*J155)+J154</f>
        <v>0.35720791836495097</v>
      </c>
      <c r="K156">
        <f>(ABS(1/B99)*K155)+K154</f>
        <v>-0.44957773448216315</v>
      </c>
      <c r="L156">
        <f>(ABS(1/B99)*L155)+L154</f>
        <v>-0.45920440788762179</v>
      </c>
      <c r="M156">
        <f>(ABS(1/B99)*M155)+M154</f>
        <v>0.45920440788762179</v>
      </c>
      <c r="N156">
        <f>(ABS(1/B99)*N155)+N154</f>
        <v>0.43362942953194011</v>
      </c>
      <c r="O156">
        <f>(ABS(1/B99)*O155)+O154</f>
        <v>0</v>
      </c>
      <c r="P156">
        <f>(ABS(1/B99)*P155)+P154</f>
        <v>0</v>
      </c>
      <c r="Z156" s="1"/>
    </row>
    <row r="157" spans="1:27" x14ac:dyDescent="0.25">
      <c r="B157" t="s">
        <v>149</v>
      </c>
      <c r="Z157" s="1"/>
      <c r="AA157" s="1"/>
    </row>
    <row r="158" spans="1:27" x14ac:dyDescent="0.25">
      <c r="B158" t="s">
        <v>58</v>
      </c>
      <c r="E158">
        <f>(-SUM(E156:F156)/L_BC)</f>
        <v>0.20945529616779979</v>
      </c>
      <c r="F158">
        <f>(-SUM(E156:F156)/L_BC)</f>
        <v>0.20945529616779979</v>
      </c>
      <c r="G158">
        <f>-G156/L_CD</f>
        <v>-8.1147602297235333E-2</v>
      </c>
      <c r="H158">
        <f>(-SUM(H156:I156)/L_CE)</f>
        <v>-3.346908201649678E-2</v>
      </c>
      <c r="I158">
        <f>(-SUM(H156:I156)/L_CE)</f>
        <v>-3.346908201649678E-2</v>
      </c>
      <c r="J158">
        <f>-J156/L_EF</f>
        <v>-8.9301979591237743E-2</v>
      </c>
      <c r="K158">
        <f>(-SUM(K156:L156)/L_EG)</f>
        <v>0.22719553559244623</v>
      </c>
      <c r="L158">
        <f>(-SUM(K156:L156)/L_EG)</f>
        <v>0.22719553559244623</v>
      </c>
    </row>
    <row r="160" spans="1:27" x14ac:dyDescent="0.25">
      <c r="C160" t="s">
        <v>60</v>
      </c>
      <c r="D160" t="s">
        <v>84</v>
      </c>
      <c r="M160" t="s">
        <v>85</v>
      </c>
      <c r="N160" t="s">
        <v>61</v>
      </c>
      <c r="O160" t="s">
        <v>63</v>
      </c>
      <c r="P160" t="s">
        <v>64</v>
      </c>
    </row>
    <row r="161" spans="2:16" x14ac:dyDescent="0.25">
      <c r="C161">
        <f>-(SUM(C156:D156)+(E158*S1_))/H1_</f>
        <v>-0.37914642316419023</v>
      </c>
      <c r="D161">
        <f>C161</f>
        <v>-0.37914642316419023</v>
      </c>
      <c r="M161">
        <f>-(SUM(M156:N156)+(M163*S3_))/H1_</f>
        <v>-0.45040399494733674</v>
      </c>
      <c r="N161">
        <f>-(SUM(M156:N156)+(M163*S3_))/H1_</f>
        <v>-0.45040399494733674</v>
      </c>
      <c r="O161">
        <f>G158</f>
        <v>-8.1147602297235333E-2</v>
      </c>
      <c r="P161">
        <f>J158</f>
        <v>-8.9301979591237743E-2</v>
      </c>
    </row>
    <row r="162" spans="2:16" x14ac:dyDescent="0.25">
      <c r="C162" t="s">
        <v>78</v>
      </c>
      <c r="D162" t="s">
        <v>86</v>
      </c>
      <c r="M162" t="s">
        <v>83</v>
      </c>
      <c r="N162" t="s">
        <v>81</v>
      </c>
    </row>
    <row r="163" spans="2:16" x14ac:dyDescent="0.25">
      <c r="C163">
        <f>E158</f>
        <v>0.20945529616779979</v>
      </c>
      <c r="D163">
        <f>E158</f>
        <v>0.20945529616779979</v>
      </c>
      <c r="M163">
        <f>L158</f>
        <v>0.22719553559244623</v>
      </c>
      <c r="N163">
        <f>M163</f>
        <v>0.22719553559244623</v>
      </c>
    </row>
    <row r="166" spans="2:16" x14ac:dyDescent="0.25">
      <c r="C166" t="s">
        <v>60</v>
      </c>
      <c r="N166" t="s">
        <v>61</v>
      </c>
      <c r="O166" t="s">
        <v>63</v>
      </c>
      <c r="P166" t="s">
        <v>64</v>
      </c>
    </row>
    <row r="167" spans="2:16" x14ac:dyDescent="0.25">
      <c r="C167">
        <f>-C161</f>
        <v>0.37914642316419023</v>
      </c>
      <c r="N167">
        <f>-N161</f>
        <v>0.45040399494733674</v>
      </c>
      <c r="O167">
        <f>-O161</f>
        <v>8.1147602297235333E-2</v>
      </c>
      <c r="P167">
        <f>-P161</f>
        <v>8.9301979591237743E-2</v>
      </c>
    </row>
    <row r="168" spans="2:16" x14ac:dyDescent="0.25">
      <c r="C168" t="s">
        <v>78</v>
      </c>
      <c r="N168" t="s">
        <v>81</v>
      </c>
      <c r="O168" t="s">
        <v>79</v>
      </c>
      <c r="P168" t="s">
        <v>80</v>
      </c>
    </row>
    <row r="169" spans="2:16" x14ac:dyDescent="0.25">
      <c r="C169">
        <f>C163</f>
        <v>0.20945529616779979</v>
      </c>
      <c r="N169">
        <f>-N163</f>
        <v>-0.22719553559244623</v>
      </c>
      <c r="O169">
        <f>H158-F158</f>
        <v>-0.24292437818429657</v>
      </c>
      <c r="P169">
        <f>K158-I158</f>
        <v>0.26066461760894299</v>
      </c>
    </row>
    <row r="170" spans="2:16" x14ac:dyDescent="0.25">
      <c r="C170" t="s">
        <v>5</v>
      </c>
      <c r="N170" t="s">
        <v>6</v>
      </c>
    </row>
    <row r="171" spans="2:16" x14ac:dyDescent="0.25">
      <c r="C171">
        <f>C156*-1</f>
        <v>-0.44996462263637532</v>
      </c>
      <c r="D171" t="s">
        <v>82</v>
      </c>
      <c r="N171">
        <f>-N156</f>
        <v>-0.43362942953194011</v>
      </c>
    </row>
    <row r="174" spans="2:16" x14ac:dyDescent="0.25">
      <c r="B174" t="s">
        <v>94</v>
      </c>
      <c r="N174" t="s">
        <v>98</v>
      </c>
    </row>
    <row r="175" spans="2:16" x14ac:dyDescent="0.25">
      <c r="B175">
        <f>(C161*H1_/L_AB)+(C163*S1_/L_AB)</f>
        <v>-0.1776439608306723</v>
      </c>
      <c r="N175">
        <f>(N163*S3_/L_GH)+(N161*H1_/L_GH)</f>
        <v>-0.15783221522804494</v>
      </c>
    </row>
    <row r="176" spans="2:16" x14ac:dyDescent="0.25">
      <c r="B176" t="s">
        <v>95</v>
      </c>
      <c r="N176" t="s">
        <v>99</v>
      </c>
    </row>
    <row r="177" spans="1:16" x14ac:dyDescent="0.25">
      <c r="B177">
        <f>(C161*S1_/L_AB)-(C163*H1_/L_AB)</f>
        <v>-0.39505209083275394</v>
      </c>
      <c r="N177">
        <f>(N163*H1_/L_GH)-(N161*S3_/L_GH)</f>
        <v>0.47913522297350164</v>
      </c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x14ac:dyDescent="0.25">
      <c r="B185" s="2"/>
      <c r="C185" s="1"/>
      <c r="D185" s="1"/>
    </row>
    <row r="187" spans="1:16" x14ac:dyDescent="0.25">
      <c r="B187" s="1"/>
    </row>
    <row r="188" spans="1:16" x14ac:dyDescent="0.25">
      <c r="B188" s="1"/>
    </row>
    <row r="200" spans="2:3" x14ac:dyDescent="0.25">
      <c r="C200" s="2" t="s">
        <v>150</v>
      </c>
    </row>
    <row r="201" spans="2:3" x14ac:dyDescent="0.25">
      <c r="B201" t="s">
        <v>43</v>
      </c>
      <c r="C201">
        <f>L_AB*C156*Mab+(0.5*L_AB*L_AB)*(C156*Ayy+Mab*B175)+(L_AB*L_AB*L_AB/3)*(B175*Ayy-0.5*LW_y*C156)-(L_AB*L_AB*L_AB*L_AB/4)*(B175*LW_y/2)</f>
        <v>0.70917567452586638</v>
      </c>
    </row>
    <row r="202" spans="2:3" x14ac:dyDescent="0.25">
      <c r="B202" t="s">
        <v>45</v>
      </c>
      <c r="C202">
        <f>4*E156*Mbc+8*(Mbc*E158+E156*Vbc)+(4*4*4/3)*(Vbc*E158-0.5*E156*F52)-64*(E158*F52/2)</f>
        <v>-1.2445942011171667</v>
      </c>
    </row>
    <row r="203" spans="2:3" x14ac:dyDescent="0.25">
      <c r="B203" t="s">
        <v>47</v>
      </c>
      <c r="C203">
        <f>O161*Dx*H1_*H1_*H1_/3</f>
        <v>1.2852073148373953</v>
      </c>
    </row>
    <row r="204" spans="2:3" x14ac:dyDescent="0.25">
      <c r="B204" t="s">
        <v>48</v>
      </c>
      <c r="C204">
        <f>L_CE*H156*Mce+0.5*L_CE*L_CE*(Mce*H158+H156*Vce)+(L_CE*L_CE*L_CE/3)*(Vce*H158-0.5*H156*F52)-(L_CE*L_CE*L_CE*L_CE/4)*(H158*F52/2)</f>
        <v>-3.4186295842300041E-2</v>
      </c>
    </row>
    <row r="205" spans="2:3" x14ac:dyDescent="0.25">
      <c r="B205" t="s">
        <v>50</v>
      </c>
      <c r="C205">
        <f>P161*Fx*H1_*H1_*H1_/3</f>
        <v>-0.92673154832273841</v>
      </c>
    </row>
    <row r="206" spans="2:3" x14ac:dyDescent="0.25">
      <c r="B206" t="s">
        <v>51</v>
      </c>
      <c r="C206">
        <f>4*K156*Meg+8*(Meg*K158+K156*Veg)+(4*4*4/3)*(Veg*K158-0.5*K156*F52)-64*(K158*F52/2)</f>
        <v>2.3180300716820028</v>
      </c>
    </row>
    <row r="207" spans="2:3" x14ac:dyDescent="0.25">
      <c r="B207" t="s">
        <v>53</v>
      </c>
      <c r="C207">
        <f>N156*Mhg*L_GH+(0.5*L_GH*L_GH)*(Mhg*N175+N156*Hyy)+(L_GH*L_GH*L_GH*Hyy*N175/3)</f>
        <v>7.7420862257329803E-2</v>
      </c>
    </row>
    <row r="208" spans="2:3" x14ac:dyDescent="0.25">
      <c r="B208" t="s">
        <v>140</v>
      </c>
      <c r="C208">
        <v>0</v>
      </c>
    </row>
    <row r="209" spans="1:5" x14ac:dyDescent="0.25">
      <c r="B209" t="s">
        <v>151</v>
      </c>
      <c r="C209">
        <v>0</v>
      </c>
    </row>
    <row r="212" spans="1:5" x14ac:dyDescent="0.25">
      <c r="A212" s="3" t="s">
        <v>152</v>
      </c>
      <c r="B212" s="2" t="s">
        <v>153</v>
      </c>
      <c r="C212">
        <f>SUM(C201:C209)/EI</f>
        <v>1.2135121544557719E-4</v>
      </c>
    </row>
    <row r="213" spans="1:5" x14ac:dyDescent="0.25">
      <c r="C213" t="s">
        <v>154</v>
      </c>
    </row>
    <row r="215" spans="1:5" x14ac:dyDescent="0.25">
      <c r="B215" s="3" t="s">
        <v>152</v>
      </c>
      <c r="C215">
        <f>C212*1000</f>
        <v>0.12135121544557718</v>
      </c>
      <c r="D215" t="s">
        <v>156</v>
      </c>
      <c r="E215" s="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15"/>
  <sheetViews>
    <sheetView topLeftCell="A186" zoomScale="69" zoomScaleNormal="69" workbookViewId="0">
      <selection activeCell="E211" sqref="E211"/>
    </sheetView>
  </sheetViews>
  <sheetFormatPr defaultRowHeight="15" x14ac:dyDescent="0.25"/>
  <cols>
    <col min="1" max="1" width="20.85546875" customWidth="1"/>
    <col min="2" max="2" width="20" customWidth="1"/>
    <col min="3" max="3" width="10.42578125" customWidth="1"/>
    <col min="4" max="4" width="9.85546875" customWidth="1"/>
    <col min="5" max="6" width="9.7109375" customWidth="1"/>
    <col min="7" max="7" width="7.85546875" customWidth="1"/>
    <col min="8" max="8" width="7.42578125" customWidth="1"/>
    <col min="12" max="13" width="12" bestFit="1" customWidth="1"/>
    <col min="27" max="27" width="9.140625" customWidth="1"/>
    <col min="28" max="28" width="17.140625" customWidth="1"/>
    <col min="29" max="29" width="19.140625" customWidth="1"/>
    <col min="30" max="30" width="31.7109375" customWidth="1"/>
    <col min="35" max="35" width="13.85546875" customWidth="1"/>
    <col min="36" max="36" width="17.85546875" customWidth="1"/>
    <col min="37" max="37" width="31.42578125" customWidth="1"/>
    <col min="44" max="44" width="10.28515625" customWidth="1"/>
    <col min="48" max="48" width="9.140625" customWidth="1"/>
    <col min="49" max="49" width="20.85546875" customWidth="1"/>
    <col min="50" max="50" width="18.140625" customWidth="1"/>
    <col min="51" max="51" width="31" customWidth="1"/>
    <col min="62" max="62" width="9.42578125" customWidth="1"/>
    <col min="63" max="63" width="23.42578125" customWidth="1"/>
    <col min="64" max="64" width="34.42578125" customWidth="1"/>
    <col min="65" max="65" width="31.7109375" customWidth="1"/>
    <col min="69" max="69" width="11" customWidth="1"/>
    <col min="70" max="70" width="11.5703125" customWidth="1"/>
    <col min="71" max="71" width="12" customWidth="1"/>
    <col min="72" max="72" width="11" customWidth="1"/>
    <col min="73" max="73" width="17.7109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 t="s">
        <v>1</v>
      </c>
      <c r="C2" s="1"/>
      <c r="D2" s="1" t="s">
        <v>0</v>
      </c>
      <c r="E2" s="1" t="s">
        <v>10</v>
      </c>
      <c r="F2" s="1" t="s">
        <v>11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>
        <f>LW</f>
        <v>8</v>
      </c>
      <c r="E3" s="1">
        <f>W1_</f>
        <v>5</v>
      </c>
      <c r="F3" s="1">
        <f>W2_</f>
        <v>10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 t="s">
        <v>17</v>
      </c>
      <c r="E4" s="1" t="s">
        <v>17</v>
      </c>
      <c r="F4" s="1" t="s">
        <v>17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  <c r="I7" s="1" t="s">
        <v>26</v>
      </c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>
        <f>SQRT((S1_*S1_)+(H1_*H1_))</f>
        <v>5</v>
      </c>
      <c r="D8" s="1">
        <v>4</v>
      </c>
      <c r="E8" s="1">
        <f xml:space="preserve"> H1_</f>
        <v>4</v>
      </c>
      <c r="F8" s="1">
        <f xml:space="preserve"> S2_</f>
        <v>5</v>
      </c>
      <c r="G8" s="1">
        <f xml:space="preserve"> H1_</f>
        <v>4</v>
      </c>
      <c r="H8" s="1">
        <v>4</v>
      </c>
      <c r="I8" s="1">
        <f>SQRT((S3_*S3_)+(H1_*H1_))</f>
        <v>5.6568542494923806</v>
      </c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 t="s">
        <v>13</v>
      </c>
      <c r="D9" s="1" t="s">
        <v>13</v>
      </c>
      <c r="E9" s="1" t="s">
        <v>13</v>
      </c>
      <c r="F9" s="1" t="s">
        <v>13</v>
      </c>
      <c r="G9" s="1" t="s">
        <v>13</v>
      </c>
      <c r="H9" s="1" t="s">
        <v>13</v>
      </c>
      <c r="I9" s="1" t="s">
        <v>13</v>
      </c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 t="s">
        <v>37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" t="s">
        <v>59</v>
      </c>
      <c r="M14" s="1">
        <f>E3*2</f>
        <v>10</v>
      </c>
      <c r="N14" s="1"/>
      <c r="O14" s="1"/>
      <c r="P14" s="1"/>
      <c r="Q14" s="1"/>
    </row>
    <row r="15" spans="1:17" x14ac:dyDescent="0.25">
      <c r="A15" s="1"/>
      <c r="B15" s="1" t="s">
        <v>28</v>
      </c>
      <c r="C15" s="1" t="s">
        <v>29</v>
      </c>
      <c r="D15" s="1" t="s">
        <v>30</v>
      </c>
      <c r="E15" s="1" t="s">
        <v>30</v>
      </c>
      <c r="F15" s="1" t="s">
        <v>31</v>
      </c>
      <c r="G15" s="1" t="s">
        <v>31</v>
      </c>
      <c r="H15" s="1" t="s">
        <v>31</v>
      </c>
      <c r="I15" s="1" t="s">
        <v>33</v>
      </c>
      <c r="J15" s="1" t="s">
        <v>33</v>
      </c>
      <c r="K15" s="1" t="s">
        <v>33</v>
      </c>
      <c r="L15" s="1" t="s">
        <v>35</v>
      </c>
      <c r="M15" s="1" t="s">
        <v>35</v>
      </c>
      <c r="N15" s="1" t="s">
        <v>36</v>
      </c>
      <c r="O15" s="1" t="s">
        <v>32</v>
      </c>
      <c r="P15" s="1" t="s">
        <v>34</v>
      </c>
      <c r="Q15" s="1"/>
    </row>
    <row r="16" spans="1:17" x14ac:dyDescent="0.25">
      <c r="A16" s="1"/>
      <c r="B16" s="1" t="s">
        <v>39</v>
      </c>
      <c r="C16" s="1" t="s">
        <v>43</v>
      </c>
      <c r="D16" s="1" t="s">
        <v>44</v>
      </c>
      <c r="E16" s="1" t="s">
        <v>45</v>
      </c>
      <c r="F16" s="1" t="s">
        <v>46</v>
      </c>
      <c r="G16" s="1" t="s">
        <v>47</v>
      </c>
      <c r="H16" s="1" t="s">
        <v>48</v>
      </c>
      <c r="I16" s="1" t="s">
        <v>49</v>
      </c>
      <c r="J16" s="1" t="s">
        <v>50</v>
      </c>
      <c r="K16" s="1" t="s">
        <v>51</v>
      </c>
      <c r="L16" s="1" t="s">
        <v>52</v>
      </c>
      <c r="M16" s="1" t="s">
        <v>53</v>
      </c>
      <c r="N16" s="1" t="s">
        <v>54</v>
      </c>
      <c r="O16" s="1" t="s">
        <v>55</v>
      </c>
      <c r="P16" s="1" t="s">
        <v>56</v>
      </c>
      <c r="Q16" s="1"/>
    </row>
    <row r="17" spans="1:17" x14ac:dyDescent="0.25">
      <c r="A17" s="1"/>
      <c r="B17" s="1" t="s">
        <v>57</v>
      </c>
      <c r="C17" s="1">
        <f xml:space="preserve"> 4 * EI/L_AB</f>
        <v>14400</v>
      </c>
      <c r="D17" s="1">
        <f xml:space="preserve"> 4 * EI/L_AB</f>
        <v>14400</v>
      </c>
      <c r="E17" s="1">
        <f xml:space="preserve"> 4 * EI/L_BC</f>
        <v>18000</v>
      </c>
      <c r="F17" s="1">
        <f xml:space="preserve"> 4 * EI/L_BC</f>
        <v>18000</v>
      </c>
      <c r="G17" s="1">
        <f>3* EI / L_CD</f>
        <v>13500</v>
      </c>
      <c r="H17" s="1">
        <f>4*EI/L_CE</f>
        <v>14400</v>
      </c>
      <c r="I17" s="1">
        <f>4*EI/L_CE</f>
        <v>14400</v>
      </c>
      <c r="J17" s="1">
        <f>3*EI/L_EF</f>
        <v>13500</v>
      </c>
      <c r="K17" s="1">
        <f>4*EI/L_EG</f>
        <v>18000</v>
      </c>
      <c r="L17" s="1">
        <f>4*EI/L_EG</f>
        <v>18000</v>
      </c>
      <c r="M17" s="1">
        <f>4*EI/L_GH</f>
        <v>12727.922061357855</v>
      </c>
      <c r="N17" s="1">
        <f>4*EI/L_GH</f>
        <v>12727.922061357855</v>
      </c>
      <c r="O17" s="1">
        <f>3* EI / L_CD</f>
        <v>13500</v>
      </c>
      <c r="P17" s="1">
        <f>3*EI/L_EF</f>
        <v>13500</v>
      </c>
      <c r="Q17" s="1"/>
    </row>
    <row r="18" spans="1:17" x14ac:dyDescent="0.25">
      <c r="A18" s="1"/>
      <c r="B18" s="1" t="s">
        <v>40</v>
      </c>
      <c r="C18" s="1">
        <v>0</v>
      </c>
      <c r="D18" s="1">
        <f>D17/SUM(D17:E17)</f>
        <v>0.44444444444444442</v>
      </c>
      <c r="E18" s="1">
        <f>E17/SUM(D17:E17)</f>
        <v>0.55555555555555558</v>
      </c>
      <c r="F18" s="1">
        <f>F17/SUM(F17:H17)</f>
        <v>0.39215686274509803</v>
      </c>
      <c r="G18" s="1">
        <f>G17/SUM(F17:H17)</f>
        <v>0.29411764705882354</v>
      </c>
      <c r="H18" s="1">
        <f>H17/SUM(F17:H17)</f>
        <v>0.31372549019607843</v>
      </c>
      <c r="I18" s="1">
        <f>I17/SUM(I17:K17)</f>
        <v>0.31372549019607843</v>
      </c>
      <c r="J18" s="1">
        <f>J17/SUM(I17:K17)</f>
        <v>0.29411764705882354</v>
      </c>
      <c r="K18" s="1">
        <f>K17/SUM(I17:K17)</f>
        <v>0.39215686274509803</v>
      </c>
      <c r="L18" s="1">
        <f>L17/SUM(L17:M17)</f>
        <v>0.58578643762690497</v>
      </c>
      <c r="M18" s="1">
        <f>M17/SUM(L17:M17)</f>
        <v>0.41421356237309503</v>
      </c>
      <c r="N18" s="1">
        <v>0</v>
      </c>
      <c r="O18" s="1">
        <v>1</v>
      </c>
      <c r="P18" s="1">
        <v>1</v>
      </c>
      <c r="Q18" s="1"/>
    </row>
    <row r="19" spans="1:17" x14ac:dyDescent="0.25">
      <c r="A19" s="1"/>
      <c r="B19" s="1" t="s">
        <v>38</v>
      </c>
      <c r="C19" s="1">
        <v>0</v>
      </c>
      <c r="D19" s="1">
        <v>0</v>
      </c>
      <c r="E19" s="1">
        <f>-F3*L_BC*L_BC/12</f>
        <v>-13.333333333333334</v>
      </c>
      <c r="F19" s="1">
        <f>F3*L_BC*L_BC/12</f>
        <v>13.333333333333334</v>
      </c>
      <c r="G19" s="1">
        <v>0</v>
      </c>
      <c r="H19" s="1">
        <f>-F3*L_CE*L_CE/12</f>
        <v>-20.833333333333332</v>
      </c>
      <c r="I19" s="1">
        <f>F3*L_CE*L_CE/12</f>
        <v>20.833333333333332</v>
      </c>
      <c r="J19" s="1">
        <v>0</v>
      </c>
      <c r="K19" s="1">
        <f>-F3*L_EG*L_EG/12</f>
        <v>-13.333333333333334</v>
      </c>
      <c r="L19" s="1">
        <f>F3*L_EG*L_EG/12</f>
        <v>13.333333333333334</v>
      </c>
      <c r="M19" s="1">
        <f>-D3*H1_*H1_/12</f>
        <v>-10.666666666666666</v>
      </c>
      <c r="N19" s="1">
        <f>D3*H1_*H1_/12</f>
        <v>10.666666666666666</v>
      </c>
      <c r="O19" s="1">
        <v>0</v>
      </c>
      <c r="P19" s="1">
        <v>0</v>
      </c>
      <c r="Q19" s="1"/>
    </row>
    <row r="20" spans="1:17" x14ac:dyDescent="0.25">
      <c r="A20" s="1"/>
      <c r="B20" s="1" t="s">
        <v>41</v>
      </c>
      <c r="C20" s="1"/>
      <c r="D20" s="1">
        <f>-SUM(D19:E19)*D18</f>
        <v>5.9259259259259256</v>
      </c>
      <c r="E20" s="1">
        <f>-SUM(D19:E19)*E18</f>
        <v>7.4074074074074083</v>
      </c>
      <c r="F20" s="1">
        <f>-SUM(F19:H19)*F18</f>
        <v>2.9411764705882346</v>
      </c>
      <c r="G20" s="1">
        <f>-SUM(F19:H19)*G18</f>
        <v>2.2058823529411762</v>
      </c>
      <c r="H20" s="1">
        <f>-SUM(F19:H19)*H18</f>
        <v>2.3529411764705874</v>
      </c>
      <c r="I20" s="1">
        <f>-SUM(I19:K19)*I18</f>
        <v>-2.3529411764705874</v>
      </c>
      <c r="J20" s="1">
        <f>-SUM(I19:K19)*J18</f>
        <v>-2.2058823529411762</v>
      </c>
      <c r="K20" s="1">
        <f>-SUM(I19:K19)*K18</f>
        <v>-2.9411764705882346</v>
      </c>
      <c r="L20" s="1">
        <f>-(L19+M19-M14)*L18</f>
        <v>4.2957672092639694</v>
      </c>
      <c r="M20" s="1">
        <f>-(L19+M19-M14)*M18</f>
        <v>3.0375661240693632</v>
      </c>
      <c r="N20" s="1"/>
      <c r="O20" s="1"/>
      <c r="P20" s="1"/>
      <c r="Q20" s="1"/>
    </row>
    <row r="21" spans="1:17" x14ac:dyDescent="0.25">
      <c r="A21" s="1"/>
      <c r="B21" s="1" t="s">
        <v>42</v>
      </c>
      <c r="C21" s="1">
        <f>D20/2</f>
        <v>2.9629629629629628</v>
      </c>
      <c r="D21" s="1"/>
      <c r="E21" s="1">
        <f>F20/2</f>
        <v>1.4705882352941173</v>
      </c>
      <c r="F21" s="1">
        <f>E20/2</f>
        <v>3.7037037037037042</v>
      </c>
      <c r="G21" s="1"/>
      <c r="H21" s="1">
        <f>I20/2</f>
        <v>-1.1764705882352937</v>
      </c>
      <c r="I21" s="1">
        <f>H20/2</f>
        <v>1.1764705882352937</v>
      </c>
      <c r="J21" s="1"/>
      <c r="K21" s="1">
        <f>L20/2</f>
        <v>2.1478836046319847</v>
      </c>
      <c r="L21" s="1">
        <f>K20/2</f>
        <v>-1.4705882352941173</v>
      </c>
      <c r="M21" s="1"/>
      <c r="N21" s="1">
        <f>M20/2</f>
        <v>1.5187830620346816</v>
      </c>
      <c r="O21" s="1"/>
      <c r="P21" s="1"/>
      <c r="Q21" s="1"/>
    </row>
    <row r="22" spans="1:17" x14ac:dyDescent="0.25">
      <c r="A22" s="1"/>
      <c r="B22" s="1" t="s">
        <v>41</v>
      </c>
      <c r="C22" s="1"/>
      <c r="D22" s="1">
        <f>-SUM(D21:E21)*D18</f>
        <v>-0.65359477124182985</v>
      </c>
      <c r="E22" s="1">
        <f>-SUM(D21:E21)*E18</f>
        <v>-0.81699346405228745</v>
      </c>
      <c r="F22" s="1">
        <f>-SUM(F21:H21)*F18</f>
        <v>-0.99107180998761202</v>
      </c>
      <c r="G22" s="1">
        <f>-SUM(F21:H21)*G18</f>
        <v>-0.74330385749070904</v>
      </c>
      <c r="H22" s="1">
        <f>-SUM(F21:H21)*H18</f>
        <v>-0.79285744799008961</v>
      </c>
      <c r="I22" s="1">
        <f>-SUM(I21:K21)*I18</f>
        <v>-1.0429346487426754</v>
      </c>
      <c r="J22" s="1">
        <f>-SUM(I21:K21)*J18</f>
        <v>-0.97775123319625834</v>
      </c>
      <c r="K22" s="1">
        <f>-SUM(I21:K21)*K18</f>
        <v>-1.3036683109283445</v>
      </c>
      <c r="L22" s="1">
        <f>-(L21+M21)*L18</f>
        <v>0.86145064356897771</v>
      </c>
      <c r="M22" s="1">
        <f>-(L21+M21)*M18</f>
        <v>0.60913759172513959</v>
      </c>
      <c r="N22" s="1"/>
      <c r="O22" s="1"/>
      <c r="P22" s="1"/>
      <c r="Q22" s="1"/>
    </row>
    <row r="23" spans="1:17" x14ac:dyDescent="0.25">
      <c r="A23" s="1"/>
      <c r="B23" s="1" t="s">
        <v>42</v>
      </c>
      <c r="C23" s="1">
        <f>D22/2</f>
        <v>-0.32679738562091493</v>
      </c>
      <c r="D23" s="1"/>
      <c r="E23" s="1">
        <f>F22/2</f>
        <v>-0.49553590499380601</v>
      </c>
      <c r="F23" s="1">
        <f>E22/2</f>
        <v>-0.40849673202614373</v>
      </c>
      <c r="G23" s="1"/>
      <c r="H23" s="1">
        <f>I22/2</f>
        <v>-0.52146732437133769</v>
      </c>
      <c r="I23" s="1">
        <f>H22/2</f>
        <v>-0.39642872399504481</v>
      </c>
      <c r="J23" s="1"/>
      <c r="K23" s="1">
        <f>L22/2</f>
        <v>0.43072532178448886</v>
      </c>
      <c r="L23" s="1">
        <f>K22/2</f>
        <v>-0.65183415546417223</v>
      </c>
      <c r="M23" s="1"/>
      <c r="N23" s="1">
        <f>M22/2</f>
        <v>0.3045687958625698</v>
      </c>
      <c r="O23" s="1"/>
      <c r="P23" s="1"/>
      <c r="Q23" s="1"/>
    </row>
    <row r="24" spans="1:17" x14ac:dyDescent="0.25">
      <c r="A24" s="1"/>
      <c r="B24" s="1" t="s">
        <v>41</v>
      </c>
      <c r="C24" s="1"/>
      <c r="D24" s="1">
        <f>-SUM(D23:E23)*D18</f>
        <v>0.2202381799972471</v>
      </c>
      <c r="E24" s="1">
        <f>-SUM(D23:E23)*E18</f>
        <v>0.27529772499655891</v>
      </c>
      <c r="F24" s="1">
        <f>-SUM(F23:H23)*F18</f>
        <v>0.36469178682254172</v>
      </c>
      <c r="G24" s="1">
        <f>-SUM(F23:H23)*G18</f>
        <v>0.2735188401169063</v>
      </c>
      <c r="H24" s="1">
        <f>-SUM(F23:H23)*H18</f>
        <v>0.29175342945803334</v>
      </c>
      <c r="I24" s="1">
        <f>-SUM(I23:K23)*I18</f>
        <v>-1.0759716953551074E-2</v>
      </c>
      <c r="J24" s="1">
        <f>-SUM(I23:K23)*J18</f>
        <v>-1.0087234643954132E-2</v>
      </c>
      <c r="K24" s="1">
        <f>-SUM(I23:K23)*K18</f>
        <v>-1.3449646191938842E-2</v>
      </c>
      <c r="L24" s="1">
        <f>-(L23+M23)*L18</f>
        <v>0.38183560785289961</v>
      </c>
      <c r="M24" s="1">
        <f>-(L23+M23)*M18</f>
        <v>0.26999854761127262</v>
      </c>
      <c r="N24" s="1"/>
      <c r="O24" s="1"/>
      <c r="P24" s="1"/>
      <c r="Q24" s="1"/>
    </row>
    <row r="25" spans="1:17" x14ac:dyDescent="0.25">
      <c r="A25" s="1"/>
      <c r="B25" s="1" t="s">
        <v>42</v>
      </c>
      <c r="C25" s="1">
        <f t="shared" ref="C25" si="0">D24/2</f>
        <v>0.11011908999862355</v>
      </c>
      <c r="D25" s="1"/>
      <c r="E25" s="1">
        <f t="shared" ref="E25" si="1">F24/2</f>
        <v>0.18234589341127086</v>
      </c>
      <c r="F25" s="1">
        <f t="shared" ref="F25" si="2">E24/2</f>
        <v>0.13764886249827946</v>
      </c>
      <c r="G25" s="1"/>
      <c r="H25" s="1">
        <f t="shared" ref="H25" si="3">I24/2</f>
        <v>-5.379858476775537E-3</v>
      </c>
      <c r="I25" s="1">
        <f t="shared" ref="I25" si="4">H24/2</f>
        <v>0.14587671472901667</v>
      </c>
      <c r="J25" s="1"/>
      <c r="K25" s="1">
        <f t="shared" ref="K25" si="5">L24/2</f>
        <v>0.1909178039264498</v>
      </c>
      <c r="L25" s="1">
        <f t="shared" ref="L25" si="6">K24/2</f>
        <v>-6.7248230959694212E-3</v>
      </c>
      <c r="M25" s="1"/>
      <c r="N25" s="1">
        <f t="shared" ref="N25" si="7">M24/2</f>
        <v>0.13499927380563631</v>
      </c>
      <c r="O25" s="1"/>
      <c r="P25" s="1"/>
      <c r="Q25" s="1"/>
    </row>
    <row r="26" spans="1:17" x14ac:dyDescent="0.25">
      <c r="A26" s="1"/>
      <c r="B26" s="1" t="s">
        <v>41</v>
      </c>
      <c r="C26" s="1"/>
      <c r="D26" s="1">
        <f>-SUM(D25:E25)*D18</f>
        <v>-8.1042619293898152E-2</v>
      </c>
      <c r="E26" s="1">
        <f>-SUM(D25:E25)*E18</f>
        <v>-0.10130327411737271</v>
      </c>
      <c r="F26" s="1">
        <f>-SUM(F25:H25)*F18</f>
        <v>-5.1870197655491737E-2</v>
      </c>
      <c r="G26" s="1">
        <f>-SUM(F25:H25)*G18</f>
        <v>-3.8902648241618806E-2</v>
      </c>
      <c r="H26" s="1">
        <f>-SUM(F25:H25)*H18</f>
        <v>-4.149615812439339E-2</v>
      </c>
      <c r="I26" s="1">
        <f>-SUM(I25:K25)*I18</f>
        <v>-0.10566102546053852</v>
      </c>
      <c r="J26" s="1">
        <f>-SUM(I25:K25)*J18</f>
        <v>-9.9057211369254855E-2</v>
      </c>
      <c r="K26" s="1">
        <f>-SUM(I25:K25)*K18</f>
        <v>-0.13207628182567313</v>
      </c>
      <c r="L26" s="1">
        <f>-(L25+M25)*L18</f>
        <v>3.9393101650590616E-3</v>
      </c>
      <c r="M26" s="1">
        <f>-(L25+M25)*M18</f>
        <v>2.7855129309103601E-3</v>
      </c>
      <c r="N26" s="1"/>
      <c r="O26" s="1"/>
      <c r="P26" s="1"/>
      <c r="Q26" s="1"/>
    </row>
    <row r="27" spans="1:17" x14ac:dyDescent="0.25">
      <c r="A27" s="1"/>
      <c r="B27" s="1" t="s">
        <v>42</v>
      </c>
      <c r="C27" s="1">
        <f t="shared" ref="C27" si="8">D26/2</f>
        <v>-4.0521309646949076E-2</v>
      </c>
      <c r="D27" s="1"/>
      <c r="E27" s="1">
        <f t="shared" ref="E27" si="9">F26/2</f>
        <v>-2.5935098827745869E-2</v>
      </c>
      <c r="F27" s="1">
        <f t="shared" ref="F27" si="10">E26/2</f>
        <v>-5.0651637058686354E-2</v>
      </c>
      <c r="G27" s="1"/>
      <c r="H27" s="1">
        <f t="shared" ref="H27" si="11">I26/2</f>
        <v>-5.2830512730269258E-2</v>
      </c>
      <c r="I27" s="1">
        <f t="shared" ref="I27" si="12">H26/2</f>
        <v>-2.0748079062196695E-2</v>
      </c>
      <c r="J27" s="1"/>
      <c r="K27" s="1">
        <f t="shared" ref="K27" si="13">L26/2</f>
        <v>1.9696550825295308E-3</v>
      </c>
      <c r="L27" s="1">
        <f t="shared" ref="L27" si="14">K26/2</f>
        <v>-6.6038140912836565E-2</v>
      </c>
      <c r="M27" s="1"/>
      <c r="N27" s="1">
        <f t="shared" ref="N27" si="15">M26/2</f>
        <v>1.39275646545518E-3</v>
      </c>
      <c r="O27" s="1"/>
      <c r="P27" s="1"/>
      <c r="Q27" s="1"/>
    </row>
    <row r="28" spans="1:17" x14ac:dyDescent="0.25">
      <c r="A28" s="1"/>
      <c r="B28" s="1" t="s">
        <v>41</v>
      </c>
      <c r="C28" s="1"/>
      <c r="D28" s="1">
        <f>-SUM(D27:E27)*D18</f>
        <v>1.1526710590109275E-2</v>
      </c>
      <c r="E28" s="1">
        <f>-SUM(D27:E27)*E18</f>
        <v>1.4408388237636594E-2</v>
      </c>
      <c r="F28" s="1">
        <f>-SUM(F27:H27)*F18</f>
        <v>4.0581235211355142E-2</v>
      </c>
      <c r="G28" s="1">
        <f>-SUM(F27:H27)*G18</f>
        <v>3.0435926408516358E-2</v>
      </c>
      <c r="H28" s="1">
        <f>-SUM(F27:H27)*H18</f>
        <v>3.2464988169084115E-2</v>
      </c>
      <c r="I28" s="1">
        <f>-SUM(I27:K27)*I18</f>
        <v>5.8912702681308739E-3</v>
      </c>
      <c r="J28" s="1">
        <f>-SUM(I27:K27)*J18</f>
        <v>5.5230658763726946E-3</v>
      </c>
      <c r="K28" s="1">
        <f>-SUM(I27:K27)*K18</f>
        <v>7.3640878351635929E-3</v>
      </c>
      <c r="L28" s="1">
        <f>-(L27+M27)*L18</f>
        <v>3.8684247312834097E-2</v>
      </c>
      <c r="M28" s="1">
        <f>-(L27+M27)*M18</f>
        <v>2.7353893600002469E-2</v>
      </c>
      <c r="N28" s="1"/>
      <c r="O28" s="1"/>
      <c r="P28" s="1"/>
      <c r="Q28" s="1"/>
    </row>
    <row r="29" spans="1:17" x14ac:dyDescent="0.25">
      <c r="A29" s="1"/>
      <c r="B29" s="1" t="s">
        <v>42</v>
      </c>
      <c r="C29" s="1">
        <f t="shared" ref="C29" si="16">D28/2</f>
        <v>5.7633552950546374E-3</v>
      </c>
      <c r="D29" s="1"/>
      <c r="E29" s="1">
        <f t="shared" ref="E29" si="17">F28/2</f>
        <v>2.0290617605677571E-2</v>
      </c>
      <c r="F29" s="1">
        <f t="shared" ref="F29" si="18">E28/2</f>
        <v>7.2041941188182969E-3</v>
      </c>
      <c r="G29" s="1"/>
      <c r="H29" s="1">
        <f t="shared" ref="H29" si="19">I28/2</f>
        <v>2.945635134065437E-3</v>
      </c>
      <c r="I29" s="1">
        <f t="shared" ref="I29" si="20">H28/2</f>
        <v>1.6232494084542057E-2</v>
      </c>
      <c r="J29" s="1"/>
      <c r="K29" s="1">
        <f t="shared" ref="K29" si="21">L28/2</f>
        <v>1.9342123656417048E-2</v>
      </c>
      <c r="L29" s="1">
        <f t="shared" ref="L29" si="22">K28/2</f>
        <v>3.6820439175817964E-3</v>
      </c>
      <c r="M29" s="1"/>
      <c r="N29" s="1">
        <f t="shared" ref="N29" si="23">M28/2</f>
        <v>1.3676946800001234E-2</v>
      </c>
      <c r="O29" s="1"/>
      <c r="P29" s="1"/>
      <c r="Q29" s="1"/>
    </row>
    <row r="30" spans="1:17" x14ac:dyDescent="0.25">
      <c r="A30" s="1"/>
      <c r="B30" s="1" t="s">
        <v>41</v>
      </c>
      <c r="C30" s="1"/>
      <c r="D30" s="1">
        <f>-SUM(D29:E29)*D18</f>
        <v>-9.0180522691900317E-3</v>
      </c>
      <c r="E30" s="1">
        <f>-SUM(D29:E29)*E18</f>
        <v>-1.1272565336487539E-2</v>
      </c>
      <c r="F30" s="1">
        <f>-SUM(F29:H29)*F18</f>
        <v>-3.9803251972093077E-3</v>
      </c>
      <c r="G30" s="1">
        <f>-SUM(F29:H29)*G18</f>
        <v>-2.9852438979069808E-3</v>
      </c>
      <c r="H30" s="1">
        <f>-SUM(F29:H29)*H18</f>
        <v>-3.1842601577674458E-3</v>
      </c>
      <c r="I30" s="1">
        <f>-SUM(I29:K29)*I18</f>
        <v>-1.1160664389320502E-2</v>
      </c>
      <c r="J30" s="1">
        <f>-SUM(I29:K29)*J18</f>
        <v>-1.0463122864987972E-2</v>
      </c>
      <c r="K30" s="1">
        <f>-SUM(I29:K29)*K18</f>
        <v>-1.3950830486650629E-2</v>
      </c>
      <c r="L30" s="1">
        <f>-(L29+M29)*L18</f>
        <v>-2.156891389666054E-3</v>
      </c>
      <c r="M30" s="1">
        <f>-(L29+M29)*M18</f>
        <v>-1.5251525279157427E-3</v>
      </c>
      <c r="N30" s="1"/>
      <c r="O30" s="1"/>
      <c r="P30" s="1"/>
      <c r="Q30" s="1"/>
    </row>
    <row r="31" spans="1:17" x14ac:dyDescent="0.25">
      <c r="A31" s="1"/>
      <c r="B31" s="1" t="s">
        <v>42</v>
      </c>
      <c r="C31" s="1">
        <f t="shared" ref="C31" si="24">D30/2</f>
        <v>-4.5090261345950159E-3</v>
      </c>
      <c r="D31" s="1"/>
      <c r="E31" s="1">
        <f t="shared" ref="E31" si="25">F30/2</f>
        <v>-1.9901625986046539E-3</v>
      </c>
      <c r="F31" s="1">
        <f t="shared" ref="F31" si="26">E30/2</f>
        <v>-5.6362826682437696E-3</v>
      </c>
      <c r="G31" s="1"/>
      <c r="H31" s="1">
        <f t="shared" ref="H31" si="27">I30/2</f>
        <v>-5.5803321946602509E-3</v>
      </c>
      <c r="I31" s="1">
        <f t="shared" ref="I31" si="28">H30/2</f>
        <v>-1.5921300788837229E-3</v>
      </c>
      <c r="J31" s="1"/>
      <c r="K31" s="1">
        <f t="shared" ref="K31" si="29">L30/2</f>
        <v>-1.078445694833027E-3</v>
      </c>
      <c r="L31" s="1">
        <f t="shared" ref="L31" si="30">K30/2</f>
        <v>-6.9754152433253143E-3</v>
      </c>
      <c r="M31" s="1"/>
      <c r="N31" s="1">
        <f t="shared" ref="N31" si="31">M30/2</f>
        <v>-7.6257626395787135E-4</v>
      </c>
      <c r="O31" s="1"/>
      <c r="P31" s="1"/>
      <c r="Q31" s="1"/>
    </row>
    <row r="32" spans="1:17" x14ac:dyDescent="0.25">
      <c r="A32" s="1"/>
      <c r="B32" s="1" t="s">
        <v>41</v>
      </c>
      <c r="C32" s="1"/>
      <c r="D32" s="1">
        <f>-SUM(D31:E31)*D18</f>
        <v>8.845167104909572E-4</v>
      </c>
      <c r="E32" s="1">
        <f>-SUM(D31:E31)*E18</f>
        <v>1.1056458881136967E-3</v>
      </c>
      <c r="F32" s="1">
        <f>-SUM(F31:H31)*F18</f>
        <v>4.3986724952564784E-3</v>
      </c>
      <c r="G32" s="1">
        <f>-SUM(F31:H31)*G18</f>
        <v>3.299004371442359E-3</v>
      </c>
      <c r="H32" s="1">
        <f>-SUM(F31:H31)*H18</f>
        <v>3.5189379962051828E-3</v>
      </c>
      <c r="I32" s="1">
        <f>-SUM(I31:K31)*I18</f>
        <v>8.3782769371505879E-4</v>
      </c>
      <c r="J32" s="1">
        <f>-SUM(I31:K31)*J18</f>
        <v>7.8546346285786773E-4</v>
      </c>
      <c r="K32" s="1">
        <f>-SUM(I31:K31)*K18</f>
        <v>1.0472846171438236E-3</v>
      </c>
      <c r="L32" s="1">
        <f>-(L31+M31)*L18</f>
        <v>4.086103646355946E-3</v>
      </c>
      <c r="M32" s="1">
        <f>-(L31+M31)*M18</f>
        <v>2.8893115969693679E-3</v>
      </c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 t="s">
        <v>39</v>
      </c>
      <c r="C34" s="1" t="s">
        <v>43</v>
      </c>
      <c r="D34" s="1" t="s">
        <v>44</v>
      </c>
      <c r="E34" s="1" t="s">
        <v>45</v>
      </c>
      <c r="F34" s="1" t="s">
        <v>46</v>
      </c>
      <c r="G34" s="1" t="s">
        <v>47</v>
      </c>
      <c r="H34" s="1" t="s">
        <v>48</v>
      </c>
      <c r="I34" s="1" t="s">
        <v>49</v>
      </c>
      <c r="J34" s="1" t="s">
        <v>50</v>
      </c>
      <c r="K34" s="1" t="s">
        <v>51</v>
      </c>
      <c r="L34" s="1" t="s">
        <v>52</v>
      </c>
      <c r="M34" s="1" t="s">
        <v>53</v>
      </c>
      <c r="N34" s="1" t="s">
        <v>54</v>
      </c>
      <c r="O34" s="1" t="s">
        <v>55</v>
      </c>
      <c r="P34" s="1" t="s">
        <v>56</v>
      </c>
      <c r="Q34" s="1"/>
    </row>
    <row r="35" spans="1:17" x14ac:dyDescent="0.25">
      <c r="A35" s="1"/>
      <c r="B35" s="3" t="s">
        <v>90</v>
      </c>
      <c r="C35" s="1">
        <f>SUM(C19:C32)</f>
        <v>2.7070176868541824</v>
      </c>
      <c r="D35" s="1">
        <f>SUM(D19:D32)</f>
        <v>5.4149198904188562</v>
      </c>
      <c r="E35" s="1">
        <f t="shared" ref="E35:M35" si="32">SUM(E19:E32)</f>
        <v>-5.4149198904188554</v>
      </c>
      <c r="F35" s="1">
        <f t="shared" si="32"/>
        <v>19.021031274178128</v>
      </c>
      <c r="G35" s="1">
        <f t="shared" si="32"/>
        <v>1.7279443742078062</v>
      </c>
      <c r="H35" s="1">
        <f t="shared" si="32"/>
        <v>-20.748975648385944</v>
      </c>
      <c r="I35" s="1">
        <f t="shared" si="32"/>
        <v>18.236416063191232</v>
      </c>
      <c r="J35" s="1">
        <f t="shared" si="32"/>
        <v>-3.2969326256764009</v>
      </c>
      <c r="K35" s="1">
        <f>SUM(K19:K32)</f>
        <v>-14.939483437514831</v>
      </c>
      <c r="L35" s="1">
        <f t="shared" si="32"/>
        <v>16.718460837660924</v>
      </c>
      <c r="M35" s="1">
        <f t="shared" si="32"/>
        <v>-6.7184608376609241</v>
      </c>
      <c r="N35" s="1">
        <f>SUM(N19:N32)</f>
        <v>12.639324925371053</v>
      </c>
      <c r="O35" s="1">
        <v>0</v>
      </c>
      <c r="P35" s="1">
        <v>0</v>
      </c>
      <c r="Q35" s="1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 t="s">
        <v>91</v>
      </c>
      <c r="C37" s="1"/>
      <c r="D37" s="1"/>
      <c r="E37" s="1">
        <f>(-SUM(E35:F35)/L_BC)+(F3*L_BC/2)</f>
        <v>16.598472154060183</v>
      </c>
      <c r="F37" s="1">
        <f>(-SUM(E35:F35)/L_BC)-(F3*L_BC/2)</f>
        <v>-23.401527845939817</v>
      </c>
      <c r="G37" s="1">
        <f>-G35/L_CD</f>
        <v>-0.43198609355195156</v>
      </c>
      <c r="H37" s="1">
        <f>-(SUM(H35:I35)/L_CE)+(F3*L_CE/2)</f>
        <v>25.502511917038941</v>
      </c>
      <c r="I37" s="1">
        <f>-(SUM(H35:I35)/L_CE)-(F3*L_CE/2)</f>
        <v>-24.497488082961059</v>
      </c>
      <c r="J37" s="1">
        <f>-J35/L_EF</f>
        <v>0.82423315641910022</v>
      </c>
      <c r="K37" s="1">
        <f>-(SUM(K35:L35)/L_EG)+(F3*L_EG/2)</f>
        <v>19.555255649963478</v>
      </c>
      <c r="L37" s="1">
        <f>-(SUM(K35:L35)/L_EG)-(F3*L_EG/2)</f>
        <v>-20.444744350036522</v>
      </c>
      <c r="M37" s="1"/>
      <c r="N37" s="1"/>
      <c r="O37" s="1"/>
      <c r="P37" s="1"/>
      <c r="Q37" s="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 t="s">
        <v>65</v>
      </c>
      <c r="C39" s="1" t="s">
        <v>60</v>
      </c>
      <c r="D39" s="1"/>
      <c r="E39" s="1"/>
      <c r="F39" s="1"/>
      <c r="G39" s="1" t="s">
        <v>63</v>
      </c>
      <c r="H39" s="1"/>
      <c r="I39" s="1"/>
      <c r="J39" s="1" t="s">
        <v>64</v>
      </c>
      <c r="K39" s="1"/>
      <c r="L39" s="1"/>
      <c r="M39" s="1" t="s">
        <v>62</v>
      </c>
      <c r="N39" s="1" t="s">
        <v>61</v>
      </c>
      <c r="O39" s="1"/>
      <c r="P39" s="1"/>
      <c r="Q39" s="1"/>
    </row>
    <row r="40" spans="1:17" x14ac:dyDescent="0.25">
      <c r="A40" s="1"/>
      <c r="B40" s="1">
        <f>D3*H1_</f>
        <v>32</v>
      </c>
      <c r="C40" s="1">
        <f>-(SUM(C35:D35)+E37*S1_)/H1_</f>
        <v>-14.479338509863396</v>
      </c>
      <c r="D40" s="1"/>
      <c r="E40" s="1"/>
      <c r="F40" s="1"/>
      <c r="G40" s="1">
        <f>G37</f>
        <v>-0.43198609355195156</v>
      </c>
      <c r="H40" s="1"/>
      <c r="I40" s="1"/>
      <c r="J40" s="1">
        <f>J37</f>
        <v>0.82423315641910022</v>
      </c>
      <c r="K40" s="1"/>
      <c r="L40" s="1"/>
      <c r="M40" s="1">
        <f>L37-(2*E3)</f>
        <v>-30.444744350036522</v>
      </c>
      <c r="N40" s="1">
        <f>-(SUM(M35:N35)+(M40*S3_)+(D3*H1_*H1_*0.5))/H1_</f>
        <v>12.96452832810899</v>
      </c>
      <c r="O40" s="1"/>
      <c r="P40" s="1"/>
      <c r="Q40" s="1"/>
    </row>
    <row r="41" spans="1:17" x14ac:dyDescent="0.25">
      <c r="A41" s="1"/>
      <c r="B41" s="1" t="s">
        <v>7</v>
      </c>
      <c r="C41" s="1" t="s">
        <v>7</v>
      </c>
      <c r="D41" s="1"/>
      <c r="E41" s="1"/>
      <c r="F41" s="1"/>
      <c r="G41" s="1" t="s">
        <v>7</v>
      </c>
      <c r="H41" s="1"/>
      <c r="I41" s="1"/>
      <c r="J41" s="1" t="s">
        <v>7</v>
      </c>
      <c r="K41" s="1"/>
      <c r="L41" s="1"/>
      <c r="M41" s="1" t="s">
        <v>7</v>
      </c>
      <c r="N41" s="1" t="s">
        <v>7</v>
      </c>
      <c r="O41" s="1"/>
      <c r="P41" s="1"/>
      <c r="Q41" s="1"/>
    </row>
    <row r="42" spans="1:17" x14ac:dyDescent="0.25">
      <c r="A42" s="1"/>
      <c r="B42" s="1" t="s">
        <v>125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" t="s">
        <v>77</v>
      </c>
      <c r="B44" s="1">
        <f>SUM(N40,J40,G40,B40:C40)</f>
        <v>30.877436881112743</v>
      </c>
      <c r="C44" s="1" t="s">
        <v>7</v>
      </c>
      <c r="D44" s="3" t="s">
        <v>67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 t="s">
        <v>1</v>
      </c>
      <c r="C51" s="1"/>
      <c r="D51" s="1" t="s">
        <v>0</v>
      </c>
      <c r="E51" s="1" t="s">
        <v>10</v>
      </c>
      <c r="F51" s="1" t="s">
        <v>11</v>
      </c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>
        <f>LW</f>
        <v>8</v>
      </c>
      <c r="E52" s="1">
        <f>W1_</f>
        <v>5</v>
      </c>
      <c r="F52" s="1">
        <f>W2_</f>
        <v>10</v>
      </c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 t="s">
        <v>17</v>
      </c>
      <c r="E53" s="1" t="s">
        <v>17</v>
      </c>
      <c r="F53" s="1" t="s">
        <v>17</v>
      </c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 t="s">
        <v>20</v>
      </c>
      <c r="D56" s="1" t="s">
        <v>21</v>
      </c>
      <c r="E56" s="1" t="s">
        <v>22</v>
      </c>
      <c r="F56" s="1" t="s">
        <v>23</v>
      </c>
      <c r="G56" s="1" t="s">
        <v>24</v>
      </c>
      <c r="H56" s="1" t="s">
        <v>25</v>
      </c>
      <c r="I56" s="1" t="s">
        <v>26</v>
      </c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>
        <f>SQRT((S1_*S1_)+(H1_*H1_))</f>
        <v>5</v>
      </c>
      <c r="D57" s="1">
        <v>4</v>
      </c>
      <c r="E57" s="1">
        <f xml:space="preserve"> H1_</f>
        <v>4</v>
      </c>
      <c r="F57" s="1">
        <f xml:space="preserve"> S2_</f>
        <v>5</v>
      </c>
      <c r="G57" s="1">
        <f xml:space="preserve"> H1_</f>
        <v>4</v>
      </c>
      <c r="H57" s="1">
        <v>4</v>
      </c>
      <c r="I57" s="1">
        <f>SQRT((S3_*S3_)+(H1_*H1_))</f>
        <v>5.6568542494923806</v>
      </c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 t="s">
        <v>13</v>
      </c>
      <c r="D58" s="1" t="s">
        <v>13</v>
      </c>
      <c r="E58" s="1" t="s">
        <v>13</v>
      </c>
      <c r="F58" s="1" t="s">
        <v>13</v>
      </c>
      <c r="G58" s="1" t="s">
        <v>13</v>
      </c>
      <c r="H58" s="1" t="s">
        <v>13</v>
      </c>
      <c r="I58" s="1" t="s">
        <v>13</v>
      </c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 t="s">
        <v>66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B61" s="1" t="s">
        <v>39</v>
      </c>
      <c r="C61" s="1" t="s">
        <v>43</v>
      </c>
      <c r="D61" s="1" t="s">
        <v>44</v>
      </c>
      <c r="E61" s="1" t="s">
        <v>45</v>
      </c>
      <c r="F61" s="1" t="s">
        <v>46</v>
      </c>
      <c r="G61" s="1" t="s">
        <v>47</v>
      </c>
      <c r="H61" s="1" t="s">
        <v>48</v>
      </c>
      <c r="I61" s="1" t="s">
        <v>49</v>
      </c>
      <c r="J61" s="1" t="s">
        <v>50</v>
      </c>
      <c r="K61" s="1" t="s">
        <v>51</v>
      </c>
      <c r="L61" s="1" t="s">
        <v>52</v>
      </c>
      <c r="M61" s="1" t="s">
        <v>53</v>
      </c>
      <c r="N61" s="1" t="s">
        <v>54</v>
      </c>
      <c r="O61" s="1" t="s">
        <v>55</v>
      </c>
      <c r="P61" s="1" t="s">
        <v>56</v>
      </c>
    </row>
    <row r="62" spans="1:16" x14ac:dyDescent="0.25">
      <c r="B62" s="2" t="s">
        <v>68</v>
      </c>
      <c r="C62" s="1">
        <f>C57/H1_</f>
        <v>1.25</v>
      </c>
      <c r="D62" s="1">
        <f>C57/H1_</f>
        <v>1.25</v>
      </c>
      <c r="E62">
        <f>S1_/H1_</f>
        <v>0.75</v>
      </c>
      <c r="F62">
        <f>S1_/H1_</f>
        <v>0.75</v>
      </c>
      <c r="G62">
        <v>1</v>
      </c>
      <c r="H62">
        <v>0</v>
      </c>
      <c r="I62">
        <v>0</v>
      </c>
      <c r="J62">
        <v>1</v>
      </c>
      <c r="K62">
        <f>S3_/H1_</f>
        <v>1</v>
      </c>
      <c r="L62">
        <f>S3_/H1_</f>
        <v>1</v>
      </c>
      <c r="M62">
        <f>I57/H1_</f>
        <v>1.4142135623730951</v>
      </c>
      <c r="N62">
        <f>I57/H1_</f>
        <v>1.4142135623730951</v>
      </c>
      <c r="O62">
        <v>1</v>
      </c>
      <c r="P62">
        <v>1</v>
      </c>
    </row>
    <row r="63" spans="1:16" x14ac:dyDescent="0.25">
      <c r="B63" t="s">
        <v>69</v>
      </c>
      <c r="C63">
        <f>6*EI/H1_/C57</f>
        <v>5400</v>
      </c>
      <c r="D63">
        <f>6*EI/H1_/C57</f>
        <v>5400</v>
      </c>
      <c r="E63">
        <f>-6*EI*E62/D57/D57</f>
        <v>-5062.5</v>
      </c>
      <c r="F63">
        <f>-6*EI*F62/D57/D57</f>
        <v>-5062.5</v>
      </c>
      <c r="G63">
        <f>3*EI*G62/E57/E57</f>
        <v>3375</v>
      </c>
      <c r="H63">
        <v>0</v>
      </c>
      <c r="I63">
        <v>0</v>
      </c>
      <c r="J63">
        <f>3*EI*J62/G57/G57</f>
        <v>3375</v>
      </c>
      <c r="K63">
        <f>-6*EI*K62/H57/H57</f>
        <v>-6750</v>
      </c>
      <c r="L63">
        <f>-6*EI*L62/H57/H57</f>
        <v>-6750</v>
      </c>
      <c r="M63">
        <f>6*EI*M62/I57/I57</f>
        <v>4772.9707730091959</v>
      </c>
      <c r="N63">
        <f>6*EI*N62/I57/I57</f>
        <v>4772.9707730091959</v>
      </c>
      <c r="O63">
        <v>0</v>
      </c>
      <c r="P63">
        <v>0</v>
      </c>
    </row>
    <row r="64" spans="1:16" x14ac:dyDescent="0.25">
      <c r="B64" s="1" t="s">
        <v>70</v>
      </c>
      <c r="C64">
        <f>C63*100/C65</f>
        <v>80</v>
      </c>
      <c r="D64">
        <f>D63*100/C65</f>
        <v>80</v>
      </c>
      <c r="E64">
        <f>E63*100/C65</f>
        <v>-75</v>
      </c>
      <c r="F64">
        <f>F63*100/C65</f>
        <v>-75</v>
      </c>
      <c r="G64">
        <f>G63*100/C65</f>
        <v>50</v>
      </c>
      <c r="H64">
        <f>H63*100/C65</f>
        <v>0</v>
      </c>
      <c r="I64">
        <f>I63*100/C65</f>
        <v>0</v>
      </c>
      <c r="J64">
        <f>J63*100/C65</f>
        <v>50</v>
      </c>
      <c r="K64">
        <f>K63*100/C65</f>
        <v>-100</v>
      </c>
      <c r="L64">
        <f>L63*100/C65</f>
        <v>-100</v>
      </c>
      <c r="M64">
        <f>M63*100/C65</f>
        <v>70.710678118654755</v>
      </c>
      <c r="N64">
        <f>N63*100/C65</f>
        <v>70.710678118654755</v>
      </c>
      <c r="O64">
        <f>O63*100/C65</f>
        <v>0</v>
      </c>
      <c r="P64">
        <f>P63*100/C65</f>
        <v>0</v>
      </c>
    </row>
    <row r="65" spans="2:16" x14ac:dyDescent="0.25">
      <c r="B65" s="1" t="s">
        <v>123</v>
      </c>
      <c r="C65">
        <f>MAX(ABS(P63),ABS(O63),ABS(N63),ABS(M63),ABS(L63),ABS(K63),ABS(J63),ABS(I63),ABS(H63),ABS(G63),ABS(F63),ABS(E63),ABS(D63),ABS(C63))</f>
        <v>6750</v>
      </c>
    </row>
    <row r="67" spans="2:1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3"/>
      <c r="M69" s="1"/>
      <c r="N69" s="1"/>
      <c r="O69" s="1"/>
      <c r="P69" s="1"/>
    </row>
    <row r="70" spans="2:16" x14ac:dyDescent="0.25">
      <c r="B70" s="1" t="s">
        <v>28</v>
      </c>
      <c r="C70" s="1" t="s">
        <v>29</v>
      </c>
      <c r="D70" s="1" t="s">
        <v>30</v>
      </c>
      <c r="E70" s="1" t="s">
        <v>30</v>
      </c>
      <c r="F70" s="1" t="s">
        <v>31</v>
      </c>
      <c r="G70" s="1" t="s">
        <v>31</v>
      </c>
      <c r="H70" s="1" t="s">
        <v>31</v>
      </c>
      <c r="I70" s="1" t="s">
        <v>33</v>
      </c>
      <c r="J70" s="1" t="s">
        <v>33</v>
      </c>
      <c r="K70" s="1" t="s">
        <v>33</v>
      </c>
      <c r="L70" s="1" t="s">
        <v>35</v>
      </c>
      <c r="M70" s="1" t="s">
        <v>35</v>
      </c>
      <c r="N70" s="1" t="s">
        <v>36</v>
      </c>
      <c r="O70" s="1" t="s">
        <v>32</v>
      </c>
      <c r="P70" s="1" t="s">
        <v>34</v>
      </c>
    </row>
    <row r="71" spans="2:16" x14ac:dyDescent="0.25">
      <c r="B71" s="1" t="s">
        <v>39</v>
      </c>
      <c r="C71" s="1" t="s">
        <v>43</v>
      </c>
      <c r="D71" s="1" t="s">
        <v>44</v>
      </c>
      <c r="E71" s="1" t="s">
        <v>45</v>
      </c>
      <c r="F71" s="1" t="s">
        <v>46</v>
      </c>
      <c r="G71" s="1" t="s">
        <v>47</v>
      </c>
      <c r="H71" s="1" t="s">
        <v>48</v>
      </c>
      <c r="I71" s="1" t="s">
        <v>49</v>
      </c>
      <c r="J71" s="1" t="s">
        <v>50</v>
      </c>
      <c r="K71" s="1" t="s">
        <v>51</v>
      </c>
      <c r="L71" s="1" t="s">
        <v>52</v>
      </c>
      <c r="M71" s="1" t="s">
        <v>53</v>
      </c>
      <c r="N71" s="1" t="s">
        <v>54</v>
      </c>
      <c r="O71" s="1" t="s">
        <v>55</v>
      </c>
      <c r="P71" s="1" t="s">
        <v>56</v>
      </c>
    </row>
    <row r="72" spans="2:16" x14ac:dyDescent="0.25">
      <c r="B72" s="1" t="s">
        <v>57</v>
      </c>
      <c r="C72" s="1">
        <f xml:space="preserve"> 4 * EI/L_AB</f>
        <v>14400</v>
      </c>
      <c r="D72" s="1">
        <f xml:space="preserve"> 4 * EI/L_AB</f>
        <v>14400</v>
      </c>
      <c r="E72" s="1">
        <f xml:space="preserve"> 4 * EI/L_BC</f>
        <v>18000</v>
      </c>
      <c r="F72" s="1">
        <f xml:space="preserve"> 4 * EI/L_BC</f>
        <v>18000</v>
      </c>
      <c r="G72" s="1">
        <f>3* EI / L_CD</f>
        <v>13500</v>
      </c>
      <c r="H72" s="1">
        <f>4*EI/L_CE</f>
        <v>14400</v>
      </c>
      <c r="I72" s="1">
        <f>4*EI/L_CE</f>
        <v>14400</v>
      </c>
      <c r="J72" s="1">
        <f>3*EI/L_EF</f>
        <v>13500</v>
      </c>
      <c r="K72" s="1">
        <f>4*EI/L_EG</f>
        <v>18000</v>
      </c>
      <c r="L72" s="1">
        <f>4*EI/L_EG</f>
        <v>18000</v>
      </c>
      <c r="M72" s="1">
        <f>4*EI/L_GH</f>
        <v>12727.922061357855</v>
      </c>
      <c r="N72" s="1">
        <f>4*EI/L_GH</f>
        <v>12727.922061357855</v>
      </c>
      <c r="O72" s="1">
        <f>3* EI / L_CD</f>
        <v>13500</v>
      </c>
      <c r="P72" s="1">
        <f>3*EI/L_EF</f>
        <v>13500</v>
      </c>
    </row>
    <row r="73" spans="2:16" x14ac:dyDescent="0.25">
      <c r="B73" s="1" t="s">
        <v>40</v>
      </c>
      <c r="C73" s="1">
        <v>0</v>
      </c>
      <c r="D73" s="1">
        <f>D72/SUM(D72:E72)</f>
        <v>0.44444444444444442</v>
      </c>
      <c r="E73" s="1">
        <f>E72/SUM(D72:E72)</f>
        <v>0.55555555555555558</v>
      </c>
      <c r="F73" s="1">
        <f>F72/SUM(F72:H72)</f>
        <v>0.39215686274509803</v>
      </c>
      <c r="G73" s="1">
        <f>G72/SUM(F72:H72)</f>
        <v>0.29411764705882354</v>
      </c>
      <c r="H73" s="1">
        <f>H72/SUM(F72:H72)</f>
        <v>0.31372549019607843</v>
      </c>
      <c r="I73" s="1">
        <f>I72/SUM(I72:K72)</f>
        <v>0.31372549019607843</v>
      </c>
      <c r="J73" s="1">
        <f>J72/SUM(I72:K72)</f>
        <v>0.29411764705882354</v>
      </c>
      <c r="K73" s="1">
        <f>K72/SUM(I72:K72)</f>
        <v>0.39215686274509803</v>
      </c>
      <c r="L73" s="1">
        <f>L72/SUM(L72:M72)</f>
        <v>0.58578643762690497</v>
      </c>
      <c r="M73" s="1">
        <f>M72/SUM(L72:M72)</f>
        <v>0.41421356237309503</v>
      </c>
      <c r="N73" s="1">
        <v>0</v>
      </c>
      <c r="O73" s="1">
        <v>1</v>
      </c>
      <c r="P73" s="1">
        <v>1</v>
      </c>
    </row>
    <row r="74" spans="2:16" x14ac:dyDescent="0.25">
      <c r="B74" s="1" t="s">
        <v>38</v>
      </c>
      <c r="C74" s="1">
        <f>C64</f>
        <v>80</v>
      </c>
      <c r="D74" s="1">
        <f t="shared" ref="D74:P74" si="33">D64</f>
        <v>80</v>
      </c>
      <c r="E74" s="1">
        <f t="shared" si="33"/>
        <v>-75</v>
      </c>
      <c r="F74" s="1">
        <f t="shared" si="33"/>
        <v>-75</v>
      </c>
      <c r="G74" s="1">
        <f t="shared" si="33"/>
        <v>50</v>
      </c>
      <c r="H74" s="1">
        <f t="shared" si="33"/>
        <v>0</v>
      </c>
      <c r="I74" s="1">
        <f t="shared" si="33"/>
        <v>0</v>
      </c>
      <c r="J74" s="1">
        <f t="shared" si="33"/>
        <v>50</v>
      </c>
      <c r="K74" s="1">
        <f t="shared" si="33"/>
        <v>-100</v>
      </c>
      <c r="L74" s="1">
        <f t="shared" si="33"/>
        <v>-100</v>
      </c>
      <c r="M74" s="1">
        <f t="shared" si="33"/>
        <v>70.710678118654755</v>
      </c>
      <c r="N74" s="1">
        <f t="shared" si="33"/>
        <v>70.710678118654755</v>
      </c>
      <c r="O74" s="1">
        <f t="shared" si="33"/>
        <v>0</v>
      </c>
      <c r="P74" s="1">
        <f t="shared" si="33"/>
        <v>0</v>
      </c>
    </row>
    <row r="75" spans="2:16" x14ac:dyDescent="0.25">
      <c r="B75" s="1" t="s">
        <v>41</v>
      </c>
      <c r="C75" s="1"/>
      <c r="D75" s="1">
        <f>-SUM(D74:E74)*D73</f>
        <v>-2.2222222222222223</v>
      </c>
      <c r="E75" s="1">
        <f>-SUM(D74:E74)*E73</f>
        <v>-2.7777777777777777</v>
      </c>
      <c r="F75" s="1">
        <f>-SUM(F74:H74)*F73</f>
        <v>9.8039215686274517</v>
      </c>
      <c r="G75" s="1">
        <f>-SUM(F74:H74)*G73</f>
        <v>7.3529411764705888</v>
      </c>
      <c r="H75" s="1">
        <f>-SUM(F74:H74)*H73</f>
        <v>7.8431372549019605</v>
      </c>
      <c r="I75" s="1">
        <f>-SUM(I74:K74)*I73</f>
        <v>15.686274509803921</v>
      </c>
      <c r="J75" s="1">
        <f>-SUM(I74:K74)*J73</f>
        <v>14.705882352941178</v>
      </c>
      <c r="K75" s="1">
        <f>-SUM(I74:K74)*K73</f>
        <v>19.607843137254903</v>
      </c>
      <c r="L75" s="1">
        <f>-(L74+M74)*L73</f>
        <v>17.15728752538099</v>
      </c>
      <c r="M75" s="1">
        <f>-(L74+M74)*M73</f>
        <v>12.132034355964256</v>
      </c>
      <c r="N75" s="1"/>
      <c r="O75" s="1"/>
      <c r="P75" s="1"/>
    </row>
    <row r="76" spans="2:16" x14ac:dyDescent="0.25">
      <c r="B76" s="1" t="s">
        <v>42</v>
      </c>
      <c r="C76" s="1">
        <f>D75/2</f>
        <v>-1.1111111111111112</v>
      </c>
      <c r="D76" s="1"/>
      <c r="E76" s="1">
        <f>F75/2</f>
        <v>4.9019607843137258</v>
      </c>
      <c r="F76" s="1">
        <f>E75/2</f>
        <v>-1.3888888888888888</v>
      </c>
      <c r="G76" s="1"/>
      <c r="H76" s="1">
        <f>I75/2</f>
        <v>7.8431372549019605</v>
      </c>
      <c r="I76" s="1">
        <f>H75/2</f>
        <v>3.9215686274509802</v>
      </c>
      <c r="J76" s="1"/>
      <c r="K76" s="1">
        <f>L75/2</f>
        <v>8.5786437626904952</v>
      </c>
      <c r="L76" s="1">
        <f>K75/2</f>
        <v>9.8039215686274517</v>
      </c>
      <c r="M76" s="1"/>
      <c r="N76" s="1">
        <f>M75/2</f>
        <v>6.0660171779821281</v>
      </c>
      <c r="O76" s="1"/>
      <c r="P76" s="1"/>
    </row>
    <row r="77" spans="2:16" x14ac:dyDescent="0.25">
      <c r="B77" s="1" t="s">
        <v>41</v>
      </c>
      <c r="C77" s="1"/>
      <c r="D77" s="1">
        <f>-SUM(D76:E76)*D73</f>
        <v>-2.1786492374727668</v>
      </c>
      <c r="E77" s="1">
        <f>-SUM(D76:E76)*E73</f>
        <v>-2.723311546840959</v>
      </c>
      <c r="F77" s="1">
        <f>-SUM(F76:H76)*F73</f>
        <v>-2.5310777905933617</v>
      </c>
      <c r="G77" s="1">
        <f>-SUM(F76:H76)*G73</f>
        <v>-1.8983083429450212</v>
      </c>
      <c r="H77" s="1">
        <f>-SUM(F76:H76)*H73</f>
        <v>-2.0248622324746894</v>
      </c>
      <c r="I77" s="1">
        <f>-SUM(I76:K76)*I73</f>
        <v>-3.9216352596522275</v>
      </c>
      <c r="J77" s="1">
        <f>-SUM(I76:K76)*J73</f>
        <v>-3.6765330559239637</v>
      </c>
      <c r="K77" s="1">
        <f>-SUM(I76:K76)*K73</f>
        <v>-4.9020440745652847</v>
      </c>
      <c r="L77" s="1">
        <f>-(L76+M76)*L73</f>
        <v>-5.7430042904598526</v>
      </c>
      <c r="M77" s="1">
        <f>-(L76+M76)*M73</f>
        <v>-4.0609172781675991</v>
      </c>
      <c r="N77" s="1"/>
      <c r="O77" s="1"/>
      <c r="P77" s="1"/>
    </row>
    <row r="78" spans="2:16" x14ac:dyDescent="0.25">
      <c r="B78" s="1" t="s">
        <v>42</v>
      </c>
      <c r="C78" s="1">
        <f>D77/2</f>
        <v>-1.0893246187363834</v>
      </c>
      <c r="D78" s="1"/>
      <c r="E78" s="1">
        <f>F77/2</f>
        <v>-1.2655388952966808</v>
      </c>
      <c r="F78" s="1">
        <f>E77/2</f>
        <v>-1.3616557734204795</v>
      </c>
      <c r="G78" s="1"/>
      <c r="H78" s="1">
        <f>I77/2</f>
        <v>-1.9608176298261137</v>
      </c>
      <c r="I78" s="1">
        <f>H77/2</f>
        <v>-1.0124311162373447</v>
      </c>
      <c r="J78" s="1"/>
      <c r="K78" s="1">
        <f>L77/2</f>
        <v>-2.8715021452299263</v>
      </c>
      <c r="L78" s="1">
        <f>K77/2</f>
        <v>-2.4510220372826423</v>
      </c>
      <c r="M78" s="1"/>
      <c r="N78" s="1">
        <f>M77/2</f>
        <v>-2.0304586390837995</v>
      </c>
      <c r="O78" s="1"/>
      <c r="P78" s="1"/>
    </row>
    <row r="79" spans="2:16" x14ac:dyDescent="0.25">
      <c r="B79" s="1" t="s">
        <v>41</v>
      </c>
      <c r="C79" s="1"/>
      <c r="D79" s="1">
        <f>-SUM(D78:E78)*D73</f>
        <v>0.56246173124296928</v>
      </c>
      <c r="E79" s="1">
        <f>-SUM(D78:E78)*E73</f>
        <v>0.70307716405371157</v>
      </c>
      <c r="F79" s="1">
        <f>-SUM(F78:H78)*F73</f>
        <v>1.302930746371213</v>
      </c>
      <c r="G79" s="1">
        <f>-SUM(F78:H78)*G73</f>
        <v>0.97719805977840979</v>
      </c>
      <c r="H79" s="1">
        <f>-SUM(F78:H78)*H73</f>
        <v>1.0423445970969702</v>
      </c>
      <c r="I79" s="1">
        <f>-SUM(I78:K78)*I73</f>
        <v>1.2184888663426732</v>
      </c>
      <c r="J79" s="1">
        <f>-SUM(I78:K78)*J73</f>
        <v>1.1423333121962562</v>
      </c>
      <c r="K79" s="1">
        <f>-SUM(I78:K78)*K73</f>
        <v>1.5231110829283414</v>
      </c>
      <c r="L79" s="1">
        <f>-(L78+M78)*L73</f>
        <v>1.435775467764838</v>
      </c>
      <c r="M79" s="1">
        <f>-(L78+M78)*M73</f>
        <v>1.0152465695178043</v>
      </c>
      <c r="N79" s="1"/>
      <c r="O79" s="1"/>
      <c r="P79" s="1"/>
    </row>
    <row r="80" spans="2:16" x14ac:dyDescent="0.25">
      <c r="B80" s="1" t="s">
        <v>42</v>
      </c>
      <c r="C80" s="1">
        <f t="shared" ref="C80" si="34">D79/2</f>
        <v>0.28123086562148464</v>
      </c>
      <c r="D80" s="1"/>
      <c r="E80" s="1">
        <f t="shared" ref="E80" si="35">F79/2</f>
        <v>0.65146537318560649</v>
      </c>
      <c r="F80" s="1">
        <f t="shared" ref="F80" si="36">E79/2</f>
        <v>0.35153858202685578</v>
      </c>
      <c r="G80" s="1"/>
      <c r="H80" s="1">
        <f t="shared" ref="H80" si="37">I79/2</f>
        <v>0.60924443317133659</v>
      </c>
      <c r="I80" s="1">
        <f t="shared" ref="I80" si="38">H79/2</f>
        <v>0.52117229854848512</v>
      </c>
      <c r="J80" s="1"/>
      <c r="K80" s="1">
        <f t="shared" ref="K80" si="39">L79/2</f>
        <v>0.717887733882419</v>
      </c>
      <c r="L80" s="1">
        <f t="shared" ref="L80" si="40">K79/2</f>
        <v>0.7615555414641707</v>
      </c>
      <c r="M80" s="1"/>
      <c r="N80" s="1">
        <f t="shared" ref="N80" si="41">M79/2</f>
        <v>0.50762328475890217</v>
      </c>
      <c r="O80" s="1"/>
      <c r="P80" s="1"/>
    </row>
    <row r="81" spans="2:16" x14ac:dyDescent="0.25">
      <c r="B81" s="1" t="s">
        <v>41</v>
      </c>
      <c r="C81" s="1"/>
      <c r="D81" s="1">
        <f>-SUM(D80:E80)*D73</f>
        <v>-0.28954016586026954</v>
      </c>
      <c r="E81" s="1">
        <f>-SUM(D80:E80)*E73</f>
        <v>-0.36192520732533695</v>
      </c>
      <c r="F81" s="1">
        <f>-SUM(F80:H80)*F73</f>
        <v>-0.37677765301889898</v>
      </c>
      <c r="G81" s="1">
        <f>-SUM(F80:H80)*G73</f>
        <v>-0.28258323976417427</v>
      </c>
      <c r="H81" s="1">
        <f>-SUM(F80:H80)*H73</f>
        <v>-0.30142212241511918</v>
      </c>
      <c r="I81" s="1">
        <f>-SUM(I80:K80)*I73</f>
        <v>-0.38872471605675418</v>
      </c>
      <c r="J81" s="1">
        <f>-SUM(I80:K80)*J73</f>
        <v>-0.3644294213032071</v>
      </c>
      <c r="K81" s="1">
        <f>-SUM(I80:K80)*K73</f>
        <v>-0.48590589507094273</v>
      </c>
      <c r="L81" s="1">
        <f>-(L80+M80)*L73</f>
        <v>-0.44610890768932526</v>
      </c>
      <c r="M81" s="1">
        <f>-(L80+M80)*M73</f>
        <v>-0.31544663377484544</v>
      </c>
      <c r="N81" s="1"/>
      <c r="O81" s="1"/>
      <c r="P81" s="1"/>
    </row>
    <row r="82" spans="2:16" x14ac:dyDescent="0.25">
      <c r="B82" s="1" t="s">
        <v>42</v>
      </c>
      <c r="C82" s="1">
        <f t="shared" ref="C82" si="42">D81/2</f>
        <v>-0.14477008293013477</v>
      </c>
      <c r="D82" s="1"/>
      <c r="E82" s="1">
        <f t="shared" ref="E82" si="43">F81/2</f>
        <v>-0.18838882650944949</v>
      </c>
      <c r="F82" s="1">
        <f t="shared" ref="F82" si="44">E81/2</f>
        <v>-0.18096260366266848</v>
      </c>
      <c r="G82" s="1"/>
      <c r="H82" s="1">
        <f t="shared" ref="H82" si="45">I81/2</f>
        <v>-0.19436235802837709</v>
      </c>
      <c r="I82" s="1">
        <f t="shared" ref="I82" si="46">H81/2</f>
        <v>-0.15071106120755959</v>
      </c>
      <c r="J82" s="1"/>
      <c r="K82" s="1">
        <f t="shared" ref="K82" si="47">L81/2</f>
        <v>-0.22305445384466263</v>
      </c>
      <c r="L82" s="1">
        <f t="shared" ref="L82" si="48">K81/2</f>
        <v>-0.24295294753547136</v>
      </c>
      <c r="M82" s="1"/>
      <c r="N82" s="1">
        <f t="shared" ref="N82" si="49">M81/2</f>
        <v>-0.15772331688742272</v>
      </c>
      <c r="O82" s="1"/>
      <c r="P82" s="1"/>
    </row>
    <row r="83" spans="2:16" x14ac:dyDescent="0.25">
      <c r="B83" s="1" t="s">
        <v>41</v>
      </c>
      <c r="C83" s="1"/>
      <c r="D83" s="1">
        <f>-SUM(D82:E82)*D73</f>
        <v>8.3728367337533097E-2</v>
      </c>
      <c r="E83" s="1">
        <f>-SUM(D82:E82)*E73</f>
        <v>0.1046604591719164</v>
      </c>
      <c r="F83" s="1">
        <f>-SUM(F82:H82)*F73</f>
        <v>0.14718625948668454</v>
      </c>
      <c r="G83" s="1">
        <f>-SUM(F82:H82)*G73</f>
        <v>0.11038969461501341</v>
      </c>
      <c r="H83" s="1">
        <f>-SUM(F82:H82)*H73</f>
        <v>0.11774900758934763</v>
      </c>
      <c r="I83" s="1">
        <f>-SUM(I82:K82)*I73</f>
        <v>0.11725976942814814</v>
      </c>
      <c r="J83" s="1">
        <f>-SUM(I82:K82)*J73</f>
        <v>0.10993103383888889</v>
      </c>
      <c r="K83" s="1">
        <f>-SUM(I82:K82)*K73</f>
        <v>0.14657471178518519</v>
      </c>
      <c r="L83" s="1">
        <f>-(L82+M82)*L73</f>
        <v>0.14231854164776012</v>
      </c>
      <c r="M83" s="1">
        <f>-(L82+M82)*M73</f>
        <v>0.10063440588771125</v>
      </c>
      <c r="N83" s="1"/>
      <c r="O83" s="1"/>
      <c r="P83" s="1"/>
    </row>
    <row r="84" spans="2:16" x14ac:dyDescent="0.25">
      <c r="B84" s="1" t="s">
        <v>42</v>
      </c>
      <c r="C84" s="1">
        <f t="shared" ref="C84" si="50">D83/2</f>
        <v>4.1864183668766548E-2</v>
      </c>
      <c r="D84" s="1"/>
      <c r="E84" s="1">
        <f t="shared" ref="E84" si="51">F83/2</f>
        <v>7.359312974334227E-2</v>
      </c>
      <c r="F84" s="1">
        <f t="shared" ref="F84" si="52">E83/2</f>
        <v>5.2330229585958198E-2</v>
      </c>
      <c r="G84" s="1"/>
      <c r="H84" s="1">
        <f t="shared" ref="H84" si="53">I83/2</f>
        <v>5.8629884714074071E-2</v>
      </c>
      <c r="I84" s="1">
        <f t="shared" ref="I84" si="54">H83/2</f>
        <v>5.8874503794673815E-2</v>
      </c>
      <c r="J84" s="1"/>
      <c r="K84" s="1">
        <f t="shared" ref="K84" si="55">L83/2</f>
        <v>7.1159270823880058E-2</v>
      </c>
      <c r="L84" s="1">
        <f t="shared" ref="L84" si="56">K83/2</f>
        <v>7.3287355892592596E-2</v>
      </c>
      <c r="M84" s="1"/>
      <c r="N84" s="1">
        <f t="shared" ref="N84" si="57">M83/2</f>
        <v>5.0317202943855624E-2</v>
      </c>
      <c r="O84" s="1"/>
      <c r="P84" s="1"/>
    </row>
    <row r="85" spans="2:16" x14ac:dyDescent="0.25">
      <c r="B85" s="1" t="s">
        <v>41</v>
      </c>
      <c r="C85" s="1"/>
      <c r="D85" s="1">
        <f>-SUM(D84:E84)*D73</f>
        <v>-3.2708057663707671E-2</v>
      </c>
      <c r="E85" s="1">
        <f>-SUM(D84:E84)*E73</f>
        <v>-4.0885072079634599E-2</v>
      </c>
      <c r="F85" s="1">
        <f>-SUM(F84:H84)*F73</f>
        <v>-4.3513770313738147E-2</v>
      </c>
      <c r="G85" s="1">
        <f>-SUM(F84:H84)*G73</f>
        <v>-3.2635327735303608E-2</v>
      </c>
      <c r="H85" s="1">
        <f>-SUM(F84:H84)*H73</f>
        <v>-3.481101625099052E-2</v>
      </c>
      <c r="I85" s="1">
        <f>-SUM(I84:K84)*I73</f>
        <v>-4.0794909684252194E-2</v>
      </c>
      <c r="J85" s="1">
        <f>-SUM(I84:K84)*J73</f>
        <v>-3.8245227828986435E-2</v>
      </c>
      <c r="K85" s="1">
        <f>-SUM(I84:K84)*K73</f>
        <v>-5.0993637105315244E-2</v>
      </c>
      <c r="L85" s="1">
        <f>-(L84+M84)*L73</f>
        <v>-4.2930739131416977E-2</v>
      </c>
      <c r="M85" s="1">
        <f>-(L84+M84)*M73</f>
        <v>-3.0356616761175619E-2</v>
      </c>
      <c r="N85" s="1"/>
      <c r="O85" s="1"/>
      <c r="P85" s="1"/>
    </row>
    <row r="86" spans="2:16" x14ac:dyDescent="0.25">
      <c r="B86" s="1" t="s">
        <v>42</v>
      </c>
      <c r="C86" s="1">
        <f t="shared" ref="C86" si="58">D85/2</f>
        <v>-1.6354028831853835E-2</v>
      </c>
      <c r="D86" s="1"/>
      <c r="E86" s="1">
        <f t="shared" ref="E86" si="59">F85/2</f>
        <v>-2.1756885156869073E-2</v>
      </c>
      <c r="F86" s="1">
        <f t="shared" ref="F86" si="60">E85/2</f>
        <v>-2.0442536039817299E-2</v>
      </c>
      <c r="G86" s="1"/>
      <c r="H86" s="1">
        <f t="shared" ref="H86" si="61">I85/2</f>
        <v>-2.0397454842126097E-2</v>
      </c>
      <c r="I86" s="1">
        <f t="shared" ref="I86" si="62">H85/2</f>
        <v>-1.740550812549526E-2</v>
      </c>
      <c r="J86" s="1"/>
      <c r="K86" s="1">
        <f t="shared" ref="K86" si="63">L85/2</f>
        <v>-2.1465369565708489E-2</v>
      </c>
      <c r="L86" s="1">
        <f t="shared" ref="L86" si="64">K85/2</f>
        <v>-2.5496818552657622E-2</v>
      </c>
      <c r="M86" s="1"/>
      <c r="N86" s="1">
        <f t="shared" ref="N86" si="65">M85/2</f>
        <v>-1.5178308380587809E-2</v>
      </c>
      <c r="O86" s="1"/>
      <c r="P86" s="1"/>
    </row>
    <row r="87" spans="2:16" x14ac:dyDescent="0.25">
      <c r="B87" s="1" t="s">
        <v>41</v>
      </c>
      <c r="C87" s="1"/>
      <c r="D87" s="1">
        <f>-SUM(D86:E86)*D73</f>
        <v>9.6697267363862541E-3</v>
      </c>
      <c r="E87" s="1">
        <f>-SUM(D86:E86)*E73</f>
        <v>1.2087158420482819E-2</v>
      </c>
      <c r="F87" s="1">
        <f>-SUM(F86:H86)*F73</f>
        <v>1.6015682698801333E-2</v>
      </c>
      <c r="G87" s="1">
        <f>-SUM(F86:H86)*G73</f>
        <v>1.2011762024101001E-2</v>
      </c>
      <c r="H87" s="1">
        <f>-SUM(F86:H86)*H73</f>
        <v>1.2812546159041066E-2</v>
      </c>
      <c r="I87" s="1">
        <f>-SUM(I86:K86)*I73</f>
        <v>1.2194785158024704E-2</v>
      </c>
      <c r="J87" s="1">
        <f>-SUM(I86:K86)*J73</f>
        <v>1.1432611085648161E-2</v>
      </c>
      <c r="K87" s="1">
        <f>-SUM(I86:K86)*K73</f>
        <v>1.524348144753088E-2</v>
      </c>
      <c r="L87" s="1">
        <f>-(L86+M86)*L73</f>
        <v>1.4935690510780888E-2</v>
      </c>
      <c r="M87" s="1">
        <f>-(L86+M86)*M73</f>
        <v>1.0561128041876734E-2</v>
      </c>
      <c r="N87" s="1"/>
      <c r="O87" s="1"/>
      <c r="P87" s="1"/>
    </row>
    <row r="88" spans="2:1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5">
      <c r="B89" s="1" t="s">
        <v>39</v>
      </c>
      <c r="C89" s="1" t="s">
        <v>43</v>
      </c>
      <c r="D89" s="1" t="s">
        <v>44</v>
      </c>
      <c r="E89" s="1" t="s">
        <v>45</v>
      </c>
      <c r="F89" s="1" t="s">
        <v>46</v>
      </c>
      <c r="G89" s="1" t="s">
        <v>47</v>
      </c>
      <c r="H89" s="1" t="s">
        <v>48</v>
      </c>
      <c r="I89" s="1" t="s">
        <v>49</v>
      </c>
      <c r="J89" s="1" t="s">
        <v>50</v>
      </c>
      <c r="K89" s="1" t="s">
        <v>51</v>
      </c>
      <c r="L89" s="1" t="s">
        <v>52</v>
      </c>
      <c r="M89" s="1" t="s">
        <v>53</v>
      </c>
      <c r="N89" s="1" t="s">
        <v>54</v>
      </c>
      <c r="O89" s="1" t="s">
        <v>55</v>
      </c>
      <c r="P89" s="1" t="s">
        <v>56</v>
      </c>
    </row>
    <row r="90" spans="2:16" x14ac:dyDescent="0.25">
      <c r="B90" s="3" t="s">
        <v>92</v>
      </c>
      <c r="C90" s="1">
        <f>SUM(C74:C87)</f>
        <v>77.961535207680754</v>
      </c>
      <c r="D90" s="1">
        <f t="shared" ref="D90:N90" si="66">SUM(D74:D87)</f>
        <v>75.932740142097913</v>
      </c>
      <c r="E90" s="1">
        <f t="shared" si="66"/>
        <v>-75.932740142097941</v>
      </c>
      <c r="F90" s="1">
        <f t="shared" si="66"/>
        <v>-69.229395947140858</v>
      </c>
      <c r="G90" s="1">
        <f t="shared" si="66"/>
        <v>56.239013782443614</v>
      </c>
      <c r="H90" s="1">
        <f t="shared" si="66"/>
        <v>12.990382164697278</v>
      </c>
      <c r="I90" s="1">
        <f t="shared" si="66"/>
        <v>16.00413078956327</v>
      </c>
      <c r="J90" s="1">
        <f t="shared" si="66"/>
        <v>61.890371605005811</v>
      </c>
      <c r="K90" s="1">
        <f t="shared" si="66"/>
        <v>-77.894502394569088</v>
      </c>
      <c r="L90" s="1">
        <f t="shared" si="66"/>
        <v>-79.562434049362778</v>
      </c>
      <c r="M90" s="1">
        <f t="shared" si="66"/>
        <v>79.562434049362778</v>
      </c>
      <c r="N90" s="1">
        <f t="shared" si="66"/>
        <v>75.131275519987838</v>
      </c>
      <c r="O90" s="1">
        <v>0</v>
      </c>
      <c r="P90" s="1">
        <v>0</v>
      </c>
    </row>
    <row r="91" spans="2:1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25">
      <c r="B92" s="1" t="s">
        <v>93</v>
      </c>
      <c r="C92" s="1"/>
      <c r="D92" s="1"/>
      <c r="E92" s="1">
        <f>(-SUM(E90:F90)/L_BC)</f>
        <v>36.2905340223097</v>
      </c>
      <c r="F92" s="1">
        <f>(-SUM(E90:F90)/L_BC)</f>
        <v>36.2905340223097</v>
      </c>
      <c r="G92" s="1">
        <f>-G90/L_CD</f>
        <v>-14.059753445610903</v>
      </c>
      <c r="H92" s="1">
        <f>-(SUM(H90:I90)/L_CE)</f>
        <v>-5.7989025908521104</v>
      </c>
      <c r="I92" s="1">
        <f>-(SUM(H90:I90)/L_CE)</f>
        <v>-5.7989025908521104</v>
      </c>
      <c r="J92" s="1">
        <f>-J90/L_EF</f>
        <v>-15.472592901251453</v>
      </c>
      <c r="K92" s="1">
        <f>-(SUM(K90:L90)/L_EG)</f>
        <v>39.364234110982963</v>
      </c>
      <c r="L92" s="1">
        <f>-(SUM(K90:L90)/L_EG)</f>
        <v>39.364234110982963</v>
      </c>
      <c r="M92" s="1"/>
      <c r="N92" s="1"/>
      <c r="O92" s="1"/>
      <c r="P92" s="1"/>
    </row>
    <row r="93" spans="2:1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25">
      <c r="B94" s="1"/>
      <c r="C94" s="1" t="s">
        <v>60</v>
      </c>
      <c r="D94" s="1"/>
      <c r="E94" s="1"/>
      <c r="F94" s="1"/>
      <c r="G94" s="1" t="s">
        <v>63</v>
      </c>
      <c r="H94" s="1"/>
      <c r="I94" s="1"/>
      <c r="J94" s="1" t="s">
        <v>64</v>
      </c>
      <c r="K94" s="1"/>
      <c r="L94" s="1"/>
      <c r="M94" s="1" t="s">
        <v>62</v>
      </c>
      <c r="N94" s="1" t="s">
        <v>61</v>
      </c>
      <c r="O94" s="1"/>
      <c r="P94" s="1"/>
    </row>
    <row r="95" spans="2:16" x14ac:dyDescent="0.25">
      <c r="B95" s="1"/>
      <c r="C95" s="1">
        <f>-((SUM(C90:D90)+E92*S1_)/H1_)</f>
        <v>-65.691469354176945</v>
      </c>
      <c r="D95" s="1"/>
      <c r="E95" s="1"/>
      <c r="F95" s="1"/>
      <c r="G95" s="1">
        <f>G92</f>
        <v>-14.059753445610903</v>
      </c>
      <c r="H95" s="1"/>
      <c r="I95" s="1"/>
      <c r="J95" s="1">
        <f>J92</f>
        <v>-15.472592901251453</v>
      </c>
      <c r="K95" s="1"/>
      <c r="L95" s="1"/>
      <c r="M95" s="1">
        <f>L92</f>
        <v>39.364234110982963</v>
      </c>
      <c r="N95" s="1">
        <f>-(SUM(M90:N90)+(M95*S3_))/H1_</f>
        <v>-78.037661503320621</v>
      </c>
      <c r="O95" s="1"/>
      <c r="P95" s="1"/>
    </row>
    <row r="96" spans="2:16" x14ac:dyDescent="0.25">
      <c r="B96" s="1"/>
      <c r="C96" s="1" t="s">
        <v>7</v>
      </c>
      <c r="D96" s="1"/>
      <c r="E96" s="1"/>
      <c r="F96" s="1"/>
      <c r="G96" s="1" t="s">
        <v>7</v>
      </c>
      <c r="H96" s="1"/>
      <c r="I96" s="1"/>
      <c r="J96" s="1" t="s">
        <v>7</v>
      </c>
      <c r="K96" s="1"/>
      <c r="L96" s="1"/>
      <c r="M96" s="1" t="s">
        <v>7</v>
      </c>
      <c r="N96" s="1" t="s">
        <v>7</v>
      </c>
      <c r="O96" s="1"/>
      <c r="P96" s="1"/>
    </row>
    <row r="97" spans="1:1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t="s">
        <v>76</v>
      </c>
      <c r="B99" s="1">
        <f>-SUM(N95,J95,G95,C95)</f>
        <v>173.26147720435992</v>
      </c>
      <c r="C99" s="1" t="s">
        <v>7</v>
      </c>
      <c r="D99" s="3" t="s">
        <v>71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3" spans="1:16" x14ac:dyDescent="0.25">
      <c r="A103" t="s">
        <v>72</v>
      </c>
    </row>
    <row r="106" spans="1:16" x14ac:dyDescent="0.25">
      <c r="B106" s="1" t="s">
        <v>39</v>
      </c>
      <c r="C106" s="1" t="s">
        <v>43</v>
      </c>
      <c r="D106" s="1" t="s">
        <v>44</v>
      </c>
      <c r="E106" s="1" t="s">
        <v>45</v>
      </c>
      <c r="F106" s="1" t="s">
        <v>46</v>
      </c>
      <c r="G106" s="1" t="s">
        <v>47</v>
      </c>
      <c r="H106" s="1" t="s">
        <v>48</v>
      </c>
      <c r="I106" s="1" t="s">
        <v>49</v>
      </c>
      <c r="J106" s="1" t="s">
        <v>50</v>
      </c>
      <c r="K106" s="1" t="s">
        <v>51</v>
      </c>
      <c r="L106" s="1" t="s">
        <v>52</v>
      </c>
      <c r="M106" s="1" t="s">
        <v>53</v>
      </c>
      <c r="N106" s="1" t="s">
        <v>54</v>
      </c>
      <c r="O106" s="1" t="s">
        <v>55</v>
      </c>
      <c r="P106" s="1" t="s">
        <v>56</v>
      </c>
    </row>
    <row r="107" spans="1:16" x14ac:dyDescent="0.25">
      <c r="B107" t="s">
        <v>74</v>
      </c>
      <c r="C107">
        <f t="shared" ref="C107:P107" si="67">C35</f>
        <v>2.7070176868541824</v>
      </c>
      <c r="D107">
        <f t="shared" si="67"/>
        <v>5.4149198904188562</v>
      </c>
      <c r="E107">
        <f t="shared" si="67"/>
        <v>-5.4149198904188554</v>
      </c>
      <c r="F107">
        <f t="shared" si="67"/>
        <v>19.021031274178128</v>
      </c>
      <c r="G107">
        <f t="shared" si="67"/>
        <v>1.7279443742078062</v>
      </c>
      <c r="H107">
        <f t="shared" si="67"/>
        <v>-20.748975648385944</v>
      </c>
      <c r="I107">
        <f t="shared" si="67"/>
        <v>18.236416063191232</v>
      </c>
      <c r="J107">
        <f t="shared" si="67"/>
        <v>-3.2969326256764009</v>
      </c>
      <c r="K107">
        <f t="shared" si="67"/>
        <v>-14.939483437514831</v>
      </c>
      <c r="L107">
        <f t="shared" si="67"/>
        <v>16.718460837660924</v>
      </c>
      <c r="M107">
        <f t="shared" si="67"/>
        <v>-6.7184608376609241</v>
      </c>
      <c r="N107">
        <f t="shared" si="67"/>
        <v>12.639324925371053</v>
      </c>
      <c r="O107">
        <f t="shared" si="67"/>
        <v>0</v>
      </c>
      <c r="P107">
        <f t="shared" si="67"/>
        <v>0</v>
      </c>
    </row>
    <row r="108" spans="1:16" x14ac:dyDescent="0.25">
      <c r="B108" t="s">
        <v>75</v>
      </c>
      <c r="C108">
        <f t="shared" ref="C108:P108" si="68">C90</f>
        <v>77.961535207680754</v>
      </c>
      <c r="D108">
        <f t="shared" si="68"/>
        <v>75.932740142097913</v>
      </c>
      <c r="E108">
        <f t="shared" si="68"/>
        <v>-75.932740142097941</v>
      </c>
      <c r="F108">
        <f t="shared" si="68"/>
        <v>-69.229395947140858</v>
      </c>
      <c r="G108">
        <f t="shared" si="68"/>
        <v>56.239013782443614</v>
      </c>
      <c r="H108">
        <f t="shared" si="68"/>
        <v>12.990382164697278</v>
      </c>
      <c r="I108">
        <f t="shared" si="68"/>
        <v>16.00413078956327</v>
      </c>
      <c r="J108">
        <f t="shared" si="68"/>
        <v>61.890371605005811</v>
      </c>
      <c r="K108">
        <f t="shared" si="68"/>
        <v>-77.894502394569088</v>
      </c>
      <c r="L108">
        <f t="shared" si="68"/>
        <v>-79.562434049362778</v>
      </c>
      <c r="M108">
        <f t="shared" si="68"/>
        <v>79.562434049362778</v>
      </c>
      <c r="N108">
        <f t="shared" si="68"/>
        <v>75.131275519987838</v>
      </c>
      <c r="O108">
        <f t="shared" si="68"/>
        <v>0</v>
      </c>
      <c r="P108">
        <f t="shared" si="68"/>
        <v>0</v>
      </c>
    </row>
    <row r="109" spans="1:16" x14ac:dyDescent="0.25">
      <c r="B109" t="s">
        <v>73</v>
      </c>
      <c r="C109">
        <f>(ABS(B44/B99)*C108)+C107</f>
        <v>16.600771921042572</v>
      </c>
      <c r="D109">
        <f>(ABS(B44/B99)*D108)+D107</f>
        <v>18.947116595530204</v>
      </c>
      <c r="E109">
        <f>(ABS(B44/B99)*E108)+E107</f>
        <v>-18.947116595530208</v>
      </c>
      <c r="F109">
        <f>(ABS(B44/B99)*F108)+F107</f>
        <v>6.6834572319454253</v>
      </c>
      <c r="G109">
        <f>(ABS(B44/B99)*G108)+G107</f>
        <v>11.7504642461539</v>
      </c>
      <c r="H109">
        <f>(ABS(B44/B99)*H108)+H107</f>
        <v>-18.433921478099329</v>
      </c>
      <c r="I109">
        <f>(ABS(B44/B99)*I108)+I107</f>
        <v>21.088559230070441</v>
      </c>
      <c r="J109">
        <f>(ABS(B44/B99)*J108)+J107</f>
        <v>7.7327323270710444</v>
      </c>
      <c r="K109">
        <f>(ABS(B44/B99)*K108)+K107</f>
        <v>-28.821291557141485</v>
      </c>
      <c r="L109">
        <f>(ABS(B44/B99)*L108)+L107</f>
        <v>2.5394057175821327</v>
      </c>
      <c r="M109">
        <f>(ABS(B44/B99)*M108)+M107</f>
        <v>7.4605942824178673</v>
      </c>
      <c r="N109">
        <f>(ABS(B44/B99)*N108)+N107</f>
        <v>26.028690265536461</v>
      </c>
      <c r="O109">
        <f>(ABS(B44/B99)*O108)+O107</f>
        <v>0</v>
      </c>
      <c r="P109">
        <f>(ABS(B44/B99)*P108)+P107</f>
        <v>0</v>
      </c>
    </row>
    <row r="111" spans="1:16" x14ac:dyDescent="0.25">
      <c r="B111" t="s">
        <v>58</v>
      </c>
      <c r="E111">
        <f>(-SUM(E109:F109)/L_BC)+(0.5*F52*L_BC)</f>
        <v>23.065914840896195</v>
      </c>
      <c r="F111">
        <f>(-SUM(E109:F109)/L_BC)-(0.5*F52*L_BC)</f>
        <v>-16.934085159103805</v>
      </c>
      <c r="G111">
        <f>-G109/L_CD</f>
        <v>-2.937616061538475</v>
      </c>
      <c r="H111">
        <f>(-SUM(H109:I109)/L_CE)+(0.5*F52*L_CE)</f>
        <v>24.469072449605779</v>
      </c>
      <c r="I111">
        <f>(-SUM(H109:I109)/L_CE)-(0.5*F52*L_CE)</f>
        <v>-25.530927550394221</v>
      </c>
      <c r="J111">
        <f>-J109/L_EF</f>
        <v>-1.9331830817677611</v>
      </c>
      <c r="K111">
        <f>(-SUM(K109:L109)/L_EG)+(0.5*F52*L_EG)</f>
        <v>26.570471459889838</v>
      </c>
      <c r="L111">
        <f>(-SUM(K109:L109)/L_EG)-(0.5*F52*L_EG)</f>
        <v>-13.429528540110162</v>
      </c>
    </row>
    <row r="113" spans="2:64" x14ac:dyDescent="0.25">
      <c r="C113" t="s">
        <v>60</v>
      </c>
      <c r="D113" t="s">
        <v>84</v>
      </c>
      <c r="M113" t="s">
        <v>85</v>
      </c>
      <c r="N113" t="s">
        <v>61</v>
      </c>
      <c r="O113" t="s">
        <v>63</v>
      </c>
      <c r="P113" t="s">
        <v>64</v>
      </c>
    </row>
    <row r="114" spans="2:64" x14ac:dyDescent="0.25">
      <c r="C114">
        <f>-(SUM(C109:D109)+(E111*S1_))/H1_</f>
        <v>-26.186408259815337</v>
      </c>
      <c r="D114">
        <f>C114</f>
        <v>-26.186408259815337</v>
      </c>
      <c r="M114">
        <f>-(SUM(M109:N109)+(M116*S3_)+(0.5*H1_*H1_*D52))/H1_</f>
        <v>-0.94279259687841943</v>
      </c>
      <c r="N114">
        <f>-(SUM(M109:N109)+(M116*S3_)+(0.5*H1_*H1_*D52))/H1_</f>
        <v>-0.94279259687841943</v>
      </c>
      <c r="O114">
        <f>G111</f>
        <v>-2.937616061538475</v>
      </c>
      <c r="P114">
        <f>J111</f>
        <v>-1.9331830817677611</v>
      </c>
    </row>
    <row r="115" spans="2:64" x14ac:dyDescent="0.25">
      <c r="C115" t="s">
        <v>78</v>
      </c>
      <c r="D115" t="s">
        <v>86</v>
      </c>
      <c r="M115" t="s">
        <v>83</v>
      </c>
      <c r="N115" t="s">
        <v>81</v>
      </c>
    </row>
    <row r="116" spans="2:64" x14ac:dyDescent="0.25">
      <c r="C116">
        <f>E111</f>
        <v>23.065914840896195</v>
      </c>
      <c r="D116">
        <f>E111</f>
        <v>23.065914840896195</v>
      </c>
      <c r="M116">
        <f>L111-(E52*2)</f>
        <v>-23.429528540110162</v>
      </c>
      <c r="N116">
        <f>M116</f>
        <v>-23.429528540110162</v>
      </c>
    </row>
    <row r="119" spans="2:64" x14ac:dyDescent="0.25">
      <c r="C119" t="s">
        <v>60</v>
      </c>
      <c r="N119" t="s">
        <v>61</v>
      </c>
      <c r="O119" t="s">
        <v>63</v>
      </c>
      <c r="P119" t="s">
        <v>64</v>
      </c>
    </row>
    <row r="120" spans="2:64" x14ac:dyDescent="0.25">
      <c r="C120">
        <f>-C114</f>
        <v>26.186408259815337</v>
      </c>
      <c r="N120">
        <f>-N114</f>
        <v>0.94279259687841943</v>
      </c>
      <c r="O120">
        <f>-O114</f>
        <v>2.937616061538475</v>
      </c>
      <c r="P120">
        <f>-P114</f>
        <v>1.9331830817677611</v>
      </c>
    </row>
    <row r="121" spans="2:64" x14ac:dyDescent="0.25">
      <c r="C121" t="s">
        <v>78</v>
      </c>
      <c r="N121" t="s">
        <v>81</v>
      </c>
      <c r="O121" t="s">
        <v>79</v>
      </c>
      <c r="P121" t="s">
        <v>80</v>
      </c>
    </row>
    <row r="122" spans="2:64" x14ac:dyDescent="0.25">
      <c r="C122">
        <f>C116</f>
        <v>23.065914840896195</v>
      </c>
      <c r="N122">
        <f>-N116</f>
        <v>23.429528540110162</v>
      </c>
      <c r="O122">
        <f>H111-F111</f>
        <v>41.403157608709584</v>
      </c>
      <c r="P122">
        <f>K111-I111</f>
        <v>52.101399010284055</v>
      </c>
    </row>
    <row r="123" spans="2:64" x14ac:dyDescent="0.25">
      <c r="C123" t="s">
        <v>5</v>
      </c>
      <c r="N123" t="s">
        <v>6</v>
      </c>
    </row>
    <row r="124" spans="2:64" x14ac:dyDescent="0.25">
      <c r="C124">
        <f>C109*-1</f>
        <v>-16.600771921042572</v>
      </c>
      <c r="D124" t="s">
        <v>82</v>
      </c>
      <c r="N124">
        <f>-N109</f>
        <v>-26.028690265536461</v>
      </c>
    </row>
    <row r="125" spans="2:64" x14ac:dyDescent="0.25">
      <c r="BL125" t="s">
        <v>135</v>
      </c>
    </row>
    <row r="126" spans="2:64" x14ac:dyDescent="0.25">
      <c r="BL126" t="s">
        <v>136</v>
      </c>
    </row>
    <row r="127" spans="2:64" x14ac:dyDescent="0.25">
      <c r="B127" t="s">
        <v>94</v>
      </c>
      <c r="D127" t="s">
        <v>96</v>
      </c>
      <c r="N127" t="s">
        <v>98</v>
      </c>
    </row>
    <row r="128" spans="2:64" x14ac:dyDescent="0.25">
      <c r="B128">
        <f>(C114*H1_/L_AB)+(C116*S1_/L_AB)</f>
        <v>-7.1095777033145549</v>
      </c>
      <c r="D128">
        <f>LW*H1_*H1_/L_GH/L_GH</f>
        <v>3.9999999999999996</v>
      </c>
      <c r="N128">
        <f>(N116*S3_/L_GH)+(N114*H1_/L_GH)</f>
        <v>-17.233833549220851</v>
      </c>
    </row>
    <row r="129" spans="2:64" x14ac:dyDescent="0.25">
      <c r="B129" t="s">
        <v>95</v>
      </c>
      <c r="D129" t="s">
        <v>97</v>
      </c>
      <c r="N129" t="s">
        <v>99</v>
      </c>
    </row>
    <row r="130" spans="2:64" x14ac:dyDescent="0.25">
      <c r="B130">
        <f>(C114*S1_/L_AB)-(C116*H1_/L_AB)</f>
        <v>-34.164576828606158</v>
      </c>
      <c r="D130">
        <f>LW*H1_*S3_/L_GH/L_GH</f>
        <v>3.9999999999999996</v>
      </c>
      <c r="N130">
        <f>(N116*H1_/L_GH)-(N114*S3_/L_GH)</f>
        <v>-15.900523472210441</v>
      </c>
    </row>
    <row r="139" spans="2:64" x14ac:dyDescent="0.25">
      <c r="BL139" t="s">
        <v>135</v>
      </c>
    </row>
    <row r="140" spans="2:64" x14ac:dyDescent="0.25">
      <c r="BL140" t="s">
        <v>136</v>
      </c>
    </row>
    <row r="150" spans="1:64" x14ac:dyDescent="0.25">
      <c r="A150" t="s">
        <v>148</v>
      </c>
    </row>
    <row r="153" spans="1:64" x14ac:dyDescent="0.25">
      <c r="B153" s="1" t="s">
        <v>39</v>
      </c>
      <c r="C153" s="1" t="s">
        <v>43</v>
      </c>
      <c r="D153" s="1" t="s">
        <v>44</v>
      </c>
      <c r="E153" s="1" t="s">
        <v>45</v>
      </c>
      <c r="F153" s="1" t="s">
        <v>46</v>
      </c>
      <c r="G153" s="1" t="s">
        <v>47</v>
      </c>
      <c r="H153" s="1" t="s">
        <v>48</v>
      </c>
      <c r="I153" s="1" t="s">
        <v>49</v>
      </c>
      <c r="J153" s="1" t="s">
        <v>50</v>
      </c>
      <c r="K153" s="1" t="s">
        <v>51</v>
      </c>
      <c r="L153" s="1" t="s">
        <v>52</v>
      </c>
      <c r="M153" s="1" t="s">
        <v>53</v>
      </c>
      <c r="N153" s="1" t="s">
        <v>54</v>
      </c>
      <c r="O153" s="1" t="s">
        <v>55</v>
      </c>
      <c r="P153" s="1" t="s">
        <v>56</v>
      </c>
      <c r="BL153" t="s">
        <v>135</v>
      </c>
    </row>
    <row r="154" spans="1:64" x14ac:dyDescent="0.25">
      <c r="B154" t="s">
        <v>74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f t="shared" ref="O154" si="69">O82</f>
        <v>0</v>
      </c>
      <c r="P154">
        <v>0</v>
      </c>
      <c r="BL154" t="s">
        <v>136</v>
      </c>
    </row>
    <row r="155" spans="1:64" x14ac:dyDescent="0.25">
      <c r="B155" t="s">
        <v>75</v>
      </c>
      <c r="C155">
        <f>C90</f>
        <v>77.961535207680754</v>
      </c>
      <c r="D155">
        <f t="shared" ref="D155:P155" si="70">D90</f>
        <v>75.932740142097913</v>
      </c>
      <c r="E155">
        <f t="shared" si="70"/>
        <v>-75.932740142097941</v>
      </c>
      <c r="F155">
        <f t="shared" si="70"/>
        <v>-69.229395947140858</v>
      </c>
      <c r="G155">
        <f t="shared" si="70"/>
        <v>56.239013782443614</v>
      </c>
      <c r="H155">
        <f t="shared" si="70"/>
        <v>12.990382164697278</v>
      </c>
      <c r="I155">
        <f t="shared" si="70"/>
        <v>16.00413078956327</v>
      </c>
      <c r="J155">
        <f t="shared" si="70"/>
        <v>61.890371605005811</v>
      </c>
      <c r="K155">
        <f t="shared" si="70"/>
        <v>-77.894502394569088</v>
      </c>
      <c r="L155">
        <f t="shared" si="70"/>
        <v>-79.562434049362778</v>
      </c>
      <c r="M155">
        <f t="shared" si="70"/>
        <v>79.562434049362778</v>
      </c>
      <c r="N155">
        <f t="shared" si="70"/>
        <v>75.131275519987838</v>
      </c>
      <c r="O155">
        <f t="shared" si="70"/>
        <v>0</v>
      </c>
      <c r="P155">
        <f t="shared" si="70"/>
        <v>0</v>
      </c>
    </row>
    <row r="156" spans="1:64" x14ac:dyDescent="0.25">
      <c r="B156" t="s">
        <v>73</v>
      </c>
      <c r="C156">
        <f>(ABS(1/B99)*C155)+C154</f>
        <v>0.44996462263637532</v>
      </c>
      <c r="D156">
        <f>(ABS(1/B99)*D155)+D154</f>
        <v>0.43825518151698617</v>
      </c>
      <c r="E156">
        <f>(ABS(1/B99)*E155)+E154</f>
        <v>-0.43825518151698634</v>
      </c>
      <c r="F156">
        <f>(ABS(1/B99)*F155)+F154</f>
        <v>-0.39956600315421287</v>
      </c>
      <c r="G156">
        <f>(ABS(1/B99)*G155)+G154</f>
        <v>0.32459040918894133</v>
      </c>
      <c r="H156">
        <f>(ABS(1/B99)*H155)+H154</f>
        <v>7.4975593965271758E-2</v>
      </c>
      <c r="I156">
        <f>(ABS(1/B99)*I155)+I154</f>
        <v>9.236981611721215E-2</v>
      </c>
      <c r="J156">
        <f>(ABS(1/B99)*J155)+J154</f>
        <v>0.35720791836495097</v>
      </c>
      <c r="K156">
        <f>(ABS(1/B99)*K155)+K154</f>
        <v>-0.44957773448216315</v>
      </c>
      <c r="L156">
        <f>(ABS(1/B99)*L155)+L154</f>
        <v>-0.45920440788762179</v>
      </c>
      <c r="M156">
        <f>(ABS(1/B99)*M155)+M154</f>
        <v>0.45920440788762179</v>
      </c>
      <c r="N156">
        <f>(ABS(1/B99)*N155)+N154</f>
        <v>0.43362942953194011</v>
      </c>
      <c r="O156">
        <f>(ABS(1/B99)*O155)+O154</f>
        <v>0</v>
      </c>
      <c r="P156">
        <f>(ABS(1/B99)*P155)+P154</f>
        <v>0</v>
      </c>
    </row>
    <row r="157" spans="1:64" x14ac:dyDescent="0.25">
      <c r="B157" t="s">
        <v>149</v>
      </c>
    </row>
    <row r="158" spans="1:64" x14ac:dyDescent="0.25">
      <c r="B158" t="s">
        <v>58</v>
      </c>
      <c r="E158">
        <f>(-SUM(E156:F156)/L_BC)</f>
        <v>0.20945529616779979</v>
      </c>
      <c r="F158">
        <f>(-SUM(E156:F156)/L_BC)</f>
        <v>0.20945529616779979</v>
      </c>
      <c r="G158">
        <f>-G156/L_CD</f>
        <v>-8.1147602297235333E-2</v>
      </c>
      <c r="H158">
        <f>(-SUM(H156:I156)/L_CE)</f>
        <v>-3.346908201649678E-2</v>
      </c>
      <c r="I158">
        <f>(-SUM(H156:I156)/L_CE)</f>
        <v>-3.346908201649678E-2</v>
      </c>
      <c r="J158">
        <f>-J156/L_EF</f>
        <v>-8.9301979591237743E-2</v>
      </c>
      <c r="K158">
        <f>(-SUM(K156:L156)/L_EG)</f>
        <v>0.22719553559244623</v>
      </c>
      <c r="L158">
        <f>(-SUM(K156:L156)/L_EG)</f>
        <v>0.22719553559244623</v>
      </c>
    </row>
    <row r="160" spans="1:64" x14ac:dyDescent="0.25">
      <c r="C160" t="s">
        <v>60</v>
      </c>
      <c r="D160" t="s">
        <v>84</v>
      </c>
      <c r="M160" t="s">
        <v>85</v>
      </c>
      <c r="N160" t="s">
        <v>61</v>
      </c>
      <c r="O160" t="s">
        <v>63</v>
      </c>
      <c r="P160" t="s">
        <v>64</v>
      </c>
    </row>
    <row r="161" spans="2:16" x14ac:dyDescent="0.25">
      <c r="C161">
        <f>-(SUM(C156:D156)+(E158*S1_))/H1_</f>
        <v>-0.37914642316419023</v>
      </c>
      <c r="D161">
        <f>C161</f>
        <v>-0.37914642316419023</v>
      </c>
      <c r="M161">
        <f>-(SUM(M156:N156)+(M163*S3_))/H1_</f>
        <v>-0.45040399494733674</v>
      </c>
      <c r="N161">
        <f>-(SUM(M156:N156)+(M163*S3_))/H1_</f>
        <v>-0.45040399494733674</v>
      </c>
      <c r="O161">
        <f>G158</f>
        <v>-8.1147602297235333E-2</v>
      </c>
      <c r="P161">
        <f>J158</f>
        <v>-8.9301979591237743E-2</v>
      </c>
    </row>
    <row r="162" spans="2:16" x14ac:dyDescent="0.25">
      <c r="C162" t="s">
        <v>78</v>
      </c>
      <c r="D162" t="s">
        <v>86</v>
      </c>
      <c r="M162" t="s">
        <v>83</v>
      </c>
      <c r="N162" t="s">
        <v>81</v>
      </c>
    </row>
    <row r="163" spans="2:16" x14ac:dyDescent="0.25">
      <c r="C163">
        <f>E158</f>
        <v>0.20945529616779979</v>
      </c>
      <c r="D163">
        <f>E158</f>
        <v>0.20945529616779979</v>
      </c>
      <c r="M163">
        <f>L158</f>
        <v>0.22719553559244623</v>
      </c>
      <c r="N163">
        <f>M163</f>
        <v>0.22719553559244623</v>
      </c>
    </row>
    <row r="166" spans="2:16" x14ac:dyDescent="0.25">
      <c r="C166" t="s">
        <v>60</v>
      </c>
      <c r="N166" t="s">
        <v>61</v>
      </c>
      <c r="O166" t="s">
        <v>63</v>
      </c>
      <c r="P166" t="s">
        <v>64</v>
      </c>
    </row>
    <row r="167" spans="2:16" x14ac:dyDescent="0.25">
      <c r="C167">
        <f>-C161</f>
        <v>0.37914642316419023</v>
      </c>
      <c r="N167">
        <f>-N161</f>
        <v>0.45040399494733674</v>
      </c>
      <c r="O167">
        <f>-O161</f>
        <v>8.1147602297235333E-2</v>
      </c>
      <c r="P167">
        <f>-P161</f>
        <v>8.9301979591237743E-2</v>
      </c>
    </row>
    <row r="168" spans="2:16" x14ac:dyDescent="0.25">
      <c r="C168" t="s">
        <v>78</v>
      </c>
      <c r="N168" t="s">
        <v>81</v>
      </c>
      <c r="O168" t="s">
        <v>79</v>
      </c>
      <c r="P168" t="s">
        <v>80</v>
      </c>
    </row>
    <row r="169" spans="2:16" x14ac:dyDescent="0.25">
      <c r="C169">
        <f>C163</f>
        <v>0.20945529616779979</v>
      </c>
      <c r="N169">
        <f>-N163</f>
        <v>-0.22719553559244623</v>
      </c>
      <c r="O169">
        <f>H158-F158</f>
        <v>-0.24292437818429657</v>
      </c>
      <c r="P169">
        <f>K158-I158</f>
        <v>0.26066461760894299</v>
      </c>
    </row>
    <row r="170" spans="2:16" x14ac:dyDescent="0.25">
      <c r="C170" t="s">
        <v>5</v>
      </c>
      <c r="N170" t="s">
        <v>6</v>
      </c>
    </row>
    <row r="171" spans="2:16" x14ac:dyDescent="0.25">
      <c r="C171">
        <f>C156*-1</f>
        <v>-0.44996462263637532</v>
      </c>
      <c r="D171" t="s">
        <v>82</v>
      </c>
      <c r="N171">
        <f>-N156</f>
        <v>-0.43362942953194011</v>
      </c>
    </row>
    <row r="174" spans="2:16" x14ac:dyDescent="0.25">
      <c r="B174" t="s">
        <v>94</v>
      </c>
      <c r="N174" t="s">
        <v>98</v>
      </c>
    </row>
    <row r="175" spans="2:16" x14ac:dyDescent="0.25">
      <c r="B175">
        <f>(C161*H1_/L_AB)+(C163*S1_/L_AB)</f>
        <v>-0.1776439608306723</v>
      </c>
      <c r="N175">
        <f>(N163*S3_/L_GH)+(N161*H1_/L_GH)</f>
        <v>-0.15783221522804494</v>
      </c>
    </row>
    <row r="176" spans="2:16" x14ac:dyDescent="0.25">
      <c r="B176" t="s">
        <v>95</v>
      </c>
      <c r="N176" t="s">
        <v>99</v>
      </c>
    </row>
    <row r="177" spans="1:16" x14ac:dyDescent="0.25">
      <c r="B177">
        <f>(C161*S1_/L_AB)-(C163*H1_/L_AB)</f>
        <v>-0.39505209083275394</v>
      </c>
      <c r="N177">
        <f>(N163*H1_/L_GH)-(N161*S3_/L_GH)</f>
        <v>0.47913522297350164</v>
      </c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x14ac:dyDescent="0.25">
      <c r="B185" s="2"/>
      <c r="C185" s="1"/>
      <c r="D185" s="1"/>
    </row>
    <row r="187" spans="1:16" x14ac:dyDescent="0.25">
      <c r="B187" s="1"/>
    </row>
    <row r="188" spans="1:16" x14ac:dyDescent="0.25">
      <c r="B188" s="1"/>
    </row>
    <row r="200" spans="2:3" x14ac:dyDescent="0.25">
      <c r="C200" s="2" t="s">
        <v>150</v>
      </c>
    </row>
    <row r="201" spans="2:3" x14ac:dyDescent="0.25">
      <c r="B201" t="s">
        <v>43</v>
      </c>
      <c r="C201">
        <f>L_AB*C156*Mab+(0.5*L_AB*L_AB)*(C156*Ayy+Mab*B175)+(L_AB*L_AB*L_AB/3)*(B175*Ayy-0.5*LW_y*C156)-(L_AB*L_AB*L_AB*L_AB/4)*(B175*LW_y/2)</f>
        <v>31.138317298979089</v>
      </c>
    </row>
    <row r="202" spans="2:3" x14ac:dyDescent="0.25">
      <c r="B202" t="s">
        <v>45</v>
      </c>
      <c r="C202">
        <f>4*E156*Mbc+8*(Mbc*E158+E156*Vbc)+(4*4*4/3)*(Vbc*E158-0.5*E156*F52)-64*(E158*F52/2)</f>
        <v>3.3848322914783751</v>
      </c>
    </row>
    <row r="203" spans="2:3" x14ac:dyDescent="0.25">
      <c r="B203" t="s">
        <v>47</v>
      </c>
      <c r="C203">
        <f>O161*Dx*H1_*H1_*H1_/3</f>
        <v>5.0854506637588264</v>
      </c>
    </row>
    <row r="204" spans="2:3" x14ac:dyDescent="0.25">
      <c r="B204" t="s">
        <v>48</v>
      </c>
      <c r="C204">
        <f>L_CE*H156*Mce+0.5*L_CE*L_CE*(Mce*H158+H156*Vce)+(L_CE*L_CE*L_CE/3)*(Vce*H158-0.5*H156*F52)-(L_CE*L_CE*L_CE*L_CE/4)*(H158*F52/2)</f>
        <v>0.13848004272190195</v>
      </c>
    </row>
    <row r="205" spans="2:3" x14ac:dyDescent="0.25">
      <c r="B205" t="s">
        <v>50</v>
      </c>
      <c r="C205">
        <f>P161*Fx*H1_*H1_*H1_/3</f>
        <v>3.6829242904352149</v>
      </c>
    </row>
    <row r="206" spans="2:3" x14ac:dyDescent="0.25">
      <c r="B206" t="s">
        <v>51</v>
      </c>
      <c r="C206">
        <f>4*K156*Meg+8*(Meg*K158+K156*Veg)+(4*4*4/3)*(Veg*K158-0.5*K156*F52)-64*(K158*F52/2)</f>
        <v>7.916314939978605</v>
      </c>
    </row>
    <row r="207" spans="2:3" x14ac:dyDescent="0.25">
      <c r="B207" t="s">
        <v>53</v>
      </c>
      <c r="C207">
        <f>N156*Mhg*L_GH+(0.5*L_GH*L_GH)*(Mhg*N175+N156*Hyy)+(L_GH*L_GH*L_GH*Hyy*N175/3)</f>
        <v>42.675068945031285</v>
      </c>
    </row>
    <row r="208" spans="2:3" x14ac:dyDescent="0.25">
      <c r="B208" t="s">
        <v>140</v>
      </c>
      <c r="C208">
        <v>0</v>
      </c>
    </row>
    <row r="209" spans="1:5" x14ac:dyDescent="0.25">
      <c r="B209" t="s">
        <v>151</v>
      </c>
      <c r="C209">
        <v>0</v>
      </c>
    </row>
    <row r="212" spans="1:5" x14ac:dyDescent="0.25">
      <c r="A212" s="3" t="s">
        <v>152</v>
      </c>
      <c r="B212" s="2" t="s">
        <v>153</v>
      </c>
      <c r="C212">
        <f>SUM(C201:C209)/EI</f>
        <v>5.2234104706879612E-3</v>
      </c>
    </row>
    <row r="213" spans="1:5" x14ac:dyDescent="0.25">
      <c r="C213" t="s">
        <v>154</v>
      </c>
    </row>
    <row r="215" spans="1:5" x14ac:dyDescent="0.25">
      <c r="B215" s="3" t="s">
        <v>152</v>
      </c>
      <c r="C215">
        <f>C212*1000</f>
        <v>5.2234104706879609</v>
      </c>
      <c r="D215" t="s">
        <v>156</v>
      </c>
      <c r="E215" s="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145</vt:i4>
      </vt:variant>
    </vt:vector>
  </HeadingPairs>
  <TitlesOfParts>
    <vt:vector size="150" baseType="lpstr">
      <vt:lpstr>Sheet1</vt:lpstr>
      <vt:lpstr>L.C1</vt:lpstr>
      <vt:lpstr>L.C2</vt:lpstr>
      <vt:lpstr>L.C3</vt:lpstr>
      <vt:lpstr>L.C4</vt:lpstr>
      <vt:lpstr>L.C2!_1.2W1</vt:lpstr>
      <vt:lpstr>_1.2W1</vt:lpstr>
      <vt:lpstr>L.C2!_1.2W2</vt:lpstr>
      <vt:lpstr>_1.2W2</vt:lpstr>
      <vt:lpstr>L.C1!Ax</vt:lpstr>
      <vt:lpstr>L.C2!Ax</vt:lpstr>
      <vt:lpstr>L.C3!Ax</vt:lpstr>
      <vt:lpstr>L.C4!Ax</vt:lpstr>
      <vt:lpstr>L.C1!Axx</vt:lpstr>
      <vt:lpstr>L.C2!Axx</vt:lpstr>
      <vt:lpstr>L.C3!Axx</vt:lpstr>
      <vt:lpstr>L.C4!Axx</vt:lpstr>
      <vt:lpstr>L.C1!Ayy</vt:lpstr>
      <vt:lpstr>L.C2!Ayy</vt:lpstr>
      <vt:lpstr>L.C3!Ayy</vt:lpstr>
      <vt:lpstr>L.C4!Ayy</vt:lpstr>
      <vt:lpstr>L.C1!Dx</vt:lpstr>
      <vt:lpstr>L.C2!Dx</vt:lpstr>
      <vt:lpstr>L.C3!Dx</vt:lpstr>
      <vt:lpstr>L.C4!Dx</vt:lpstr>
      <vt:lpstr>L.C1!Dy</vt:lpstr>
      <vt:lpstr>L.C2!Dy</vt:lpstr>
      <vt:lpstr>L.C3!Dy</vt:lpstr>
      <vt:lpstr>L.C4!Dy</vt:lpstr>
      <vt:lpstr>EI</vt:lpstr>
      <vt:lpstr>L.C1!Fx</vt:lpstr>
      <vt:lpstr>L.C2!Fx</vt:lpstr>
      <vt:lpstr>L.C3!Fx</vt:lpstr>
      <vt:lpstr>L.C4!Fx</vt:lpstr>
      <vt:lpstr>L.C1!Fy</vt:lpstr>
      <vt:lpstr>L.C2!Fy</vt:lpstr>
      <vt:lpstr>L.C3!Fy</vt:lpstr>
      <vt:lpstr>L.C4!Fy</vt:lpstr>
      <vt:lpstr>H1_</vt:lpstr>
      <vt:lpstr>L.C1!Hxx</vt:lpstr>
      <vt:lpstr>L.C2!Hxx</vt:lpstr>
      <vt:lpstr>L.C3!Hxx</vt:lpstr>
      <vt:lpstr>L.C4!Hxx</vt:lpstr>
      <vt:lpstr>L.C1!Hyy</vt:lpstr>
      <vt:lpstr>L.C2!Hyy</vt:lpstr>
      <vt:lpstr>L.C3!Hyy</vt:lpstr>
      <vt:lpstr>L.C4!Hyy</vt:lpstr>
      <vt:lpstr>L.C2!K_AB</vt:lpstr>
      <vt:lpstr>L.C3!K_AB</vt:lpstr>
      <vt:lpstr>L.C4!K_AB</vt:lpstr>
      <vt:lpstr>K_AB</vt:lpstr>
      <vt:lpstr>L.C2!K_BC</vt:lpstr>
      <vt:lpstr>L.C3!K_BC</vt:lpstr>
      <vt:lpstr>L.C4!K_BC</vt:lpstr>
      <vt:lpstr>K_BC</vt:lpstr>
      <vt:lpstr>L.C2!K_CD</vt:lpstr>
      <vt:lpstr>L.C3!K_CD</vt:lpstr>
      <vt:lpstr>L.C4!K_CD</vt:lpstr>
      <vt:lpstr>K_CD</vt:lpstr>
      <vt:lpstr>L.C2!K_CE</vt:lpstr>
      <vt:lpstr>L.C3!K_CE</vt:lpstr>
      <vt:lpstr>L.C4!K_CE</vt:lpstr>
      <vt:lpstr>K_CE</vt:lpstr>
      <vt:lpstr>L.C2!K_EF</vt:lpstr>
      <vt:lpstr>L.C3!K_EF</vt:lpstr>
      <vt:lpstr>L.C4!K_EF</vt:lpstr>
      <vt:lpstr>K_EF</vt:lpstr>
      <vt:lpstr>L.C2!K_EG</vt:lpstr>
      <vt:lpstr>L.C3!K_EG</vt:lpstr>
      <vt:lpstr>L.C4!K_EG</vt:lpstr>
      <vt:lpstr>K_EG</vt:lpstr>
      <vt:lpstr>L.C2!K_GH</vt:lpstr>
      <vt:lpstr>L.C3!K_GH</vt:lpstr>
      <vt:lpstr>L.C4!K_GH</vt:lpstr>
      <vt:lpstr>K_GH</vt:lpstr>
      <vt:lpstr>L.C2!L_AB</vt:lpstr>
      <vt:lpstr>L.C3!L_AB</vt:lpstr>
      <vt:lpstr>L.C4!L_AB</vt:lpstr>
      <vt:lpstr>L_AB</vt:lpstr>
      <vt:lpstr>L.C2!L_BC</vt:lpstr>
      <vt:lpstr>L.C3!L_BC</vt:lpstr>
      <vt:lpstr>L.C4!L_BC</vt:lpstr>
      <vt:lpstr>L_BC</vt:lpstr>
      <vt:lpstr>L.C2!L_CD</vt:lpstr>
      <vt:lpstr>L.C3!L_CD</vt:lpstr>
      <vt:lpstr>L.C4!L_CD</vt:lpstr>
      <vt:lpstr>L_CD</vt:lpstr>
      <vt:lpstr>L.C2!L_CE</vt:lpstr>
      <vt:lpstr>L.C3!L_CE</vt:lpstr>
      <vt:lpstr>L.C4!L_CE</vt:lpstr>
      <vt:lpstr>L_CE</vt:lpstr>
      <vt:lpstr>L.C2!L_EF</vt:lpstr>
      <vt:lpstr>L.C3!L_EF</vt:lpstr>
      <vt:lpstr>L.C4!L_EF</vt:lpstr>
      <vt:lpstr>L_EF</vt:lpstr>
      <vt:lpstr>L.C2!L_EG</vt:lpstr>
      <vt:lpstr>L.C3!L_EG</vt:lpstr>
      <vt:lpstr>L.C4!L_EG</vt:lpstr>
      <vt:lpstr>L_EG</vt:lpstr>
      <vt:lpstr>L.C2!L_GH</vt:lpstr>
      <vt:lpstr>L.C3!L_GH</vt:lpstr>
      <vt:lpstr>L.C4!L_GH</vt:lpstr>
      <vt:lpstr>L_GH</vt:lpstr>
      <vt:lpstr>LW</vt:lpstr>
      <vt:lpstr>L.C1!LW_x</vt:lpstr>
      <vt:lpstr>L.C2!LW_x</vt:lpstr>
      <vt:lpstr>L.C3!LW_x</vt:lpstr>
      <vt:lpstr>L.C4!LW_x</vt:lpstr>
      <vt:lpstr>L.C1!LW_y</vt:lpstr>
      <vt:lpstr>L.C2!LW_y</vt:lpstr>
      <vt:lpstr>L.C3!LW_y</vt:lpstr>
      <vt:lpstr>L.C4!LW_y</vt:lpstr>
      <vt:lpstr>L.C1!Mab</vt:lpstr>
      <vt:lpstr>L.C2!Mab</vt:lpstr>
      <vt:lpstr>L.C3!Mab</vt:lpstr>
      <vt:lpstr>L.C4!Mab</vt:lpstr>
      <vt:lpstr>L.C1!Mbc</vt:lpstr>
      <vt:lpstr>L.C2!Mbc</vt:lpstr>
      <vt:lpstr>L.C3!Mbc</vt:lpstr>
      <vt:lpstr>L.C4!Mbc</vt:lpstr>
      <vt:lpstr>L.C1!Mce</vt:lpstr>
      <vt:lpstr>L.C2!Mce</vt:lpstr>
      <vt:lpstr>L.C3!Mce</vt:lpstr>
      <vt:lpstr>L.C4!Mce</vt:lpstr>
      <vt:lpstr>L.C1!Meg</vt:lpstr>
      <vt:lpstr>L.C2!Meg</vt:lpstr>
      <vt:lpstr>L.C3!Meg</vt:lpstr>
      <vt:lpstr>L.C4!Meg</vt:lpstr>
      <vt:lpstr>L.C1!Mhg</vt:lpstr>
      <vt:lpstr>L.C2!Mhg</vt:lpstr>
      <vt:lpstr>L.C3!Mhg</vt:lpstr>
      <vt:lpstr>L.C4!Mhg</vt:lpstr>
      <vt:lpstr>n</vt:lpstr>
      <vt:lpstr>S1_</vt:lpstr>
      <vt:lpstr>S2_</vt:lpstr>
      <vt:lpstr>S3_</vt:lpstr>
      <vt:lpstr>L.C1!Vbc</vt:lpstr>
      <vt:lpstr>L.C2!Vbc</vt:lpstr>
      <vt:lpstr>L.C3!Vbc</vt:lpstr>
      <vt:lpstr>L.C4!Vbc</vt:lpstr>
      <vt:lpstr>L.C1!Vce</vt:lpstr>
      <vt:lpstr>L.C2!Vce</vt:lpstr>
      <vt:lpstr>L.C3!Vce</vt:lpstr>
      <vt:lpstr>L.C4!Vce</vt:lpstr>
      <vt:lpstr>L.C1!Veg</vt:lpstr>
      <vt:lpstr>L.C2!Veg</vt:lpstr>
      <vt:lpstr>L.C3!Veg</vt:lpstr>
      <vt:lpstr>L.C4!Veg</vt:lpstr>
      <vt:lpstr>W1_</vt:lpstr>
      <vt:lpstr>W2_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2021-01-20T15:07:00Z</dcterms:modified>
</cp:coreProperties>
</file>