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PAVEMENT ENGINEERING\"/>
    </mc:Choice>
  </mc:AlternateContent>
  <xr:revisionPtr revIDLastSave="0" documentId="13_ncr:201_{7BDE923B-9551-412E-A3A5-621DE1657844}" xr6:coauthVersionLast="47" xr6:coauthVersionMax="47" xr10:uidLastSave="{00000000-0000-0000-0000-000000000000}"/>
  <bookViews>
    <workbookView xWindow="-120" yWindow="-120" windowWidth="20730" windowHeight="11160" tabRatio="831" xr2:uid="{8382070E-A309-46B9-B6B4-54011E651EEA}"/>
  </bookViews>
  <sheets>
    <sheet name="Regression " sheetId="1" r:id="rId1"/>
    <sheet name="Markov (5 states)" sheetId="2" r:id="rId2"/>
    <sheet name="Markov (4 states)" sheetId="3" r:id="rId3"/>
    <sheet name="Shell Method" sheetId="4" r:id="rId4"/>
    <sheet name="P7.1" sheetId="5" r:id="rId5"/>
    <sheet name="P7.2" sheetId="6" r:id="rId6"/>
    <sheet name="P7.3" sheetId="7" r:id="rId7"/>
    <sheet name="P7.9" sheetId="8" r:id="rId8"/>
    <sheet name="P7.10" sheetId="9" r:id="rId9"/>
  </sheets>
  <definedNames>
    <definedName name="solver_adj" localSheetId="1" hidden="1">'Markov (5 states)'!$B$35,'Markov (5 states)'!$D$35</definedName>
    <definedName name="solver_cvg" localSheetId="1" hidden="1">0.0001</definedName>
    <definedName name="solver_drv" localSheetId="1" hidden="1">1</definedName>
    <definedName name="solver_eng" localSheetId="1" hidden="1">1</definedName>
    <definedName name="solver_est" localSheetId="1" hidden="1">1</definedName>
    <definedName name="solver_itr" localSheetId="1" hidden="1">2147483647</definedName>
    <definedName name="solver_lhs1" localSheetId="1" hidden="1">'Markov (5 states)'!$B$35</definedName>
    <definedName name="solver_lhs2" localSheetId="1" hidden="1">'Markov (5 states)'!$D$35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um" localSheetId="1" hidden="1">2</definedName>
    <definedName name="solver_nwt" localSheetId="1" hidden="1">1</definedName>
    <definedName name="solver_opt" localSheetId="1" hidden="1">'Markov (5 states)'!$D$60</definedName>
    <definedName name="solver_pre" localSheetId="1" hidden="1">0.000001</definedName>
    <definedName name="solver_rbv" localSheetId="1" hidden="1">1</definedName>
    <definedName name="solver_rel1" localSheetId="1" hidden="1">1</definedName>
    <definedName name="solver_rel2" localSheetId="1" hidden="1">1</definedName>
    <definedName name="solver_rhs1" localSheetId="1" hidden="1">'Markov (5 states)'!$O$63</definedName>
    <definedName name="solver_rhs2" localSheetId="1" hidden="1">'Markov (5 states)'!$O$64</definedName>
    <definedName name="solver_rlx" localSheetId="1" hidden="1">2</definedName>
    <definedName name="solver_rsd" localSheetId="1" hidden="1">0</definedName>
    <definedName name="solver_scl" localSheetId="1" hidden="1">1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3</definedName>
    <definedName name="solver_val" localSheetId="1" hidden="1">30000</definedName>
    <definedName name="solver_ver" localSheetId="1" hidden="1">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F6" i="1"/>
  <c r="G20" i="9"/>
  <c r="D3" i="9"/>
  <c r="D4" i="9"/>
  <c r="D5" i="9"/>
  <c r="D6" i="9"/>
  <c r="D7" i="9"/>
  <c r="D8" i="9"/>
  <c r="D2" i="9"/>
  <c r="C3" i="9"/>
  <c r="C4" i="9"/>
  <c r="C5" i="9"/>
  <c r="C6" i="9"/>
  <c r="C7" i="9"/>
  <c r="C8" i="9"/>
  <c r="C2" i="9"/>
  <c r="G20" i="8"/>
  <c r="D3" i="8"/>
  <c r="D4" i="8"/>
  <c r="D5" i="8"/>
  <c r="D6" i="8"/>
  <c r="D2" i="8"/>
  <c r="C3" i="8"/>
  <c r="C4" i="8"/>
  <c r="C5" i="8"/>
  <c r="C6" i="8"/>
  <c r="C2" i="8"/>
  <c r="G21" i="7"/>
  <c r="D3" i="7"/>
  <c r="D4" i="7"/>
  <c r="D5" i="7"/>
  <c r="D6" i="7"/>
  <c r="D7" i="7"/>
  <c r="D8" i="7"/>
  <c r="D9" i="7"/>
  <c r="D10" i="7"/>
  <c r="D2" i="7"/>
  <c r="E3" i="6"/>
  <c r="E4" i="6"/>
  <c r="E5" i="6"/>
  <c r="E6" i="6"/>
  <c r="E7" i="6"/>
  <c r="E2" i="6"/>
  <c r="D3" i="6"/>
  <c r="D4" i="6"/>
  <c r="D5" i="6"/>
  <c r="D6" i="6"/>
  <c r="D7" i="6"/>
  <c r="C3" i="6"/>
  <c r="C4" i="6"/>
  <c r="C5" i="6"/>
  <c r="C6" i="6"/>
  <c r="C7" i="6"/>
  <c r="C2" i="6"/>
  <c r="D2" i="6" s="1"/>
  <c r="G3" i="5" l="1"/>
  <c r="G4" i="5"/>
  <c r="G5" i="5"/>
  <c r="G6" i="5"/>
  <c r="G2" i="5"/>
  <c r="F3" i="5"/>
  <c r="F4" i="5"/>
  <c r="F5" i="5"/>
  <c r="F6" i="5"/>
  <c r="F2" i="5"/>
  <c r="E3" i="5"/>
  <c r="E4" i="5"/>
  <c r="E5" i="5"/>
  <c r="E6" i="5"/>
  <c r="E2" i="5"/>
  <c r="D3" i="5"/>
  <c r="D4" i="5"/>
  <c r="D5" i="5"/>
  <c r="D6" i="5"/>
  <c r="D2" i="5"/>
  <c r="D6" i="4"/>
  <c r="C6" i="4"/>
  <c r="F6" i="4" s="1"/>
  <c r="G6" i="4" s="1"/>
  <c r="B6" i="4"/>
  <c r="E6" i="4" s="1"/>
  <c r="A6" i="4"/>
  <c r="O60" i="3"/>
  <c r="O61" i="3"/>
  <c r="E36" i="3"/>
  <c r="B36" i="3"/>
  <c r="A39" i="3" s="1" a="1"/>
  <c r="A39" i="3" s="1"/>
  <c r="E36" i="2"/>
  <c r="D36" i="3"/>
  <c r="C36" i="3"/>
  <c r="N61" i="3"/>
  <c r="O64" i="3" s="1"/>
  <c r="N60" i="3"/>
  <c r="O63" i="3" s="1"/>
  <c r="C60" i="3"/>
  <c r="K40" i="3"/>
  <c r="K39" i="3"/>
  <c r="K38" i="3"/>
  <c r="K37" i="3"/>
  <c r="K36" i="3"/>
  <c r="O64" i="2"/>
  <c r="O61" i="2"/>
  <c r="O60" i="2"/>
  <c r="O63" i="2"/>
  <c r="C60" i="2"/>
  <c r="N61" i="2"/>
  <c r="N60" i="2"/>
  <c r="K37" i="2"/>
  <c r="K38" i="2"/>
  <c r="K39" i="2"/>
  <c r="K40" i="2"/>
  <c r="K41" i="2"/>
  <c r="K36" i="2"/>
  <c r="H6" i="4" l="1"/>
  <c r="H36" i="3"/>
  <c r="C39" i="3"/>
  <c r="D39" i="3"/>
  <c r="B39" i="3"/>
  <c r="H39" i="3" s="1"/>
  <c r="K42" i="3" s="1"/>
  <c r="G36" i="3"/>
  <c r="K41" i="3" l="1"/>
  <c r="A42" i="3" a="1"/>
  <c r="G39" i="3"/>
  <c r="B42" i="3" l="1"/>
  <c r="D42" i="3"/>
  <c r="C42" i="3"/>
  <c r="A42" i="3"/>
  <c r="H42" i="3" l="1"/>
  <c r="A45" i="3" a="1"/>
  <c r="G42" i="3"/>
  <c r="B45" i="3" l="1"/>
  <c r="A45" i="3"/>
  <c r="D45" i="3"/>
  <c r="C45" i="3"/>
  <c r="K43" i="3"/>
  <c r="A48" i="3" l="1" a="1"/>
  <c r="H45" i="3"/>
  <c r="G45" i="3"/>
  <c r="A48" i="3" l="1"/>
  <c r="D48" i="3"/>
  <c r="C48" i="3"/>
  <c r="B48" i="3"/>
  <c r="K44" i="3"/>
  <c r="A51" i="3" l="1" a="1"/>
  <c r="H48" i="3"/>
  <c r="G48" i="3"/>
  <c r="A51" i="3" l="1"/>
  <c r="C51" i="3"/>
  <c r="D51" i="3"/>
  <c r="B51" i="3"/>
  <c r="K45" i="3"/>
  <c r="H51" i="3" l="1"/>
  <c r="H52" i="3" s="1"/>
  <c r="G51" i="3"/>
  <c r="H59" i="3" l="1"/>
  <c r="H27" i="3" l="1"/>
  <c r="H24" i="3"/>
  <c r="H21" i="3"/>
  <c r="H18" i="3"/>
  <c r="A27" i="3" a="1"/>
  <c r="A27" i="3" s="1"/>
  <c r="A24" i="3" a="1"/>
  <c r="A24" i="3" s="1"/>
  <c r="A21" i="3" a="1"/>
  <c r="A21" i="3" s="1"/>
  <c r="A18" i="3" a="1"/>
  <c r="A18" i="3" s="1"/>
  <c r="S2" i="3"/>
  <c r="M2" i="3"/>
  <c r="B10" i="3"/>
  <c r="A10" i="3" s="1"/>
  <c r="E7" i="3"/>
  <c r="R5" i="3"/>
  <c r="K5" i="3"/>
  <c r="R4" i="3"/>
  <c r="K4" i="3"/>
  <c r="R3" i="3"/>
  <c r="K3" i="3"/>
  <c r="F3" i="3"/>
  <c r="R2" i="3"/>
  <c r="K2" i="3"/>
  <c r="R6" i="2"/>
  <c r="R5" i="2"/>
  <c r="R4" i="2"/>
  <c r="R3" i="2"/>
  <c r="R2" i="2"/>
  <c r="D13" i="2"/>
  <c r="B10" i="2"/>
  <c r="E7" i="2"/>
  <c r="K3" i="2"/>
  <c r="K4" i="2"/>
  <c r="K5" i="2"/>
  <c r="K6" i="2"/>
  <c r="K2" i="2"/>
  <c r="F3" i="2"/>
  <c r="H6" i="1"/>
  <c r="I6" i="1" s="1"/>
  <c r="J6" i="1"/>
  <c r="H7" i="1"/>
  <c r="I7" i="1"/>
  <c r="J7" i="1"/>
  <c r="K7" i="1"/>
  <c r="H8" i="1"/>
  <c r="I8" i="1"/>
  <c r="J8" i="1"/>
  <c r="K8" i="1"/>
  <c r="H9" i="1"/>
  <c r="I9" i="1"/>
  <c r="J9" i="1"/>
  <c r="K9" i="1"/>
  <c r="H10" i="1"/>
  <c r="I10" i="1"/>
  <c r="J10" i="1"/>
  <c r="K10" i="1"/>
  <c r="H11" i="1"/>
  <c r="I11" i="1"/>
  <c r="J11" i="1"/>
  <c r="K11" i="1"/>
  <c r="C27" i="3" l="1"/>
  <c r="D27" i="3"/>
  <c r="B27" i="3"/>
  <c r="C24" i="3"/>
  <c r="D24" i="3"/>
  <c r="B24" i="3"/>
  <c r="C21" i="3"/>
  <c r="D21" i="3"/>
  <c r="B21" i="3"/>
  <c r="C18" i="3"/>
  <c r="D18" i="3"/>
  <c r="B18" i="3"/>
  <c r="K18" i="3"/>
  <c r="B11" i="3"/>
  <c r="C12" i="3" s="1"/>
  <c r="C11" i="3"/>
  <c r="C11" i="2"/>
  <c r="D12" i="2" s="1"/>
  <c r="S2" i="2"/>
  <c r="M2" i="2"/>
  <c r="K18" i="2" s="1"/>
  <c r="A10" i="2"/>
  <c r="F7" i="1"/>
  <c r="F8" i="1"/>
  <c r="F9" i="1"/>
  <c r="F10" i="1"/>
  <c r="F11" i="1"/>
  <c r="B9" i="1"/>
  <c r="B7" i="1"/>
  <c r="B6" i="1"/>
  <c r="D11" i="1"/>
  <c r="C7" i="1"/>
  <c r="C8" i="1"/>
  <c r="C9" i="1"/>
  <c r="C10" i="1"/>
  <c r="C11" i="1"/>
  <c r="C6" i="1"/>
  <c r="B8" i="1"/>
  <c r="D9" i="1"/>
  <c r="B10" i="1"/>
  <c r="D10" i="1" s="1"/>
  <c r="B11" i="1"/>
  <c r="B11" i="2" l="1"/>
  <c r="C12" i="2" s="1"/>
  <c r="A18" i="2" a="1"/>
  <c r="D6" i="1"/>
  <c r="D8" i="1"/>
  <c r="D7" i="1"/>
  <c r="K19" i="3" l="1"/>
  <c r="F18" i="3"/>
  <c r="D18" i="2"/>
  <c r="E18" i="2"/>
  <c r="C18" i="2"/>
  <c r="A18" i="2"/>
  <c r="B18" i="2"/>
  <c r="A21" i="2" l="1" a="1"/>
  <c r="H18" i="2"/>
  <c r="K19" i="2" s="1"/>
  <c r="F18" i="2"/>
  <c r="F21" i="3" l="1"/>
  <c r="K20" i="3"/>
  <c r="A21" i="2"/>
  <c r="E21" i="2"/>
  <c r="C21" i="2"/>
  <c r="B21" i="2"/>
  <c r="D21" i="2"/>
  <c r="A24" i="2" l="1" a="1"/>
  <c r="H21" i="2"/>
  <c r="K20" i="2" s="1"/>
  <c r="F21" i="2"/>
  <c r="K21" i="3" l="1"/>
  <c r="F24" i="3"/>
  <c r="B24" i="2"/>
  <c r="C24" i="2"/>
  <c r="D24" i="2"/>
  <c r="E24" i="2"/>
  <c r="A24" i="2"/>
  <c r="H24" i="2" l="1"/>
  <c r="K21" i="2" s="1"/>
  <c r="A27" i="2" a="1"/>
  <c r="F24" i="2"/>
  <c r="K22" i="3" l="1"/>
  <c r="F27" i="3"/>
  <c r="B27" i="2"/>
  <c r="D27" i="2"/>
  <c r="C27" i="2"/>
  <c r="A27" i="2"/>
  <c r="E27" i="2"/>
  <c r="H27" i="2" l="1"/>
  <c r="K22" i="2" s="1"/>
  <c r="A30" i="2" a="1"/>
  <c r="F27" i="2"/>
  <c r="A30" i="2" l="1"/>
  <c r="E30" i="2"/>
  <c r="C30" i="2"/>
  <c r="D36" i="2" s="1"/>
  <c r="D30" i="2"/>
  <c r="B30" i="2"/>
  <c r="C36" i="2" s="1"/>
  <c r="B36" i="2" l="1"/>
  <c r="F36" i="2"/>
  <c r="H30" i="2"/>
  <c r="K23" i="2" s="1"/>
  <c r="F30" i="2"/>
  <c r="G36" i="2" l="1"/>
  <c r="H36" i="2"/>
  <c r="A39" i="2" a="1"/>
  <c r="A39" i="2" l="1"/>
  <c r="E39" i="2"/>
  <c r="D39" i="2"/>
  <c r="B39" i="2"/>
  <c r="C39" i="2"/>
  <c r="K42" i="2"/>
  <c r="A42" i="2" l="1" a="1"/>
  <c r="H39" i="2"/>
  <c r="G39" i="2"/>
  <c r="K43" i="2" l="1"/>
  <c r="A42" i="2"/>
  <c r="E42" i="2"/>
  <c r="D42" i="2"/>
  <c r="B42" i="2"/>
  <c r="C42" i="2"/>
  <c r="A45" i="2" l="1" a="1"/>
  <c r="H42" i="2"/>
  <c r="G42" i="2"/>
  <c r="K44" i="2" l="1"/>
  <c r="A45" i="2"/>
  <c r="E45" i="2"/>
  <c r="D45" i="2"/>
  <c r="C45" i="2"/>
  <c r="B45" i="2"/>
  <c r="H45" i="2" l="1"/>
  <c r="A48" i="2" a="1"/>
  <c r="G45" i="2"/>
  <c r="B48" i="2" l="1"/>
  <c r="C48" i="2"/>
  <c r="E48" i="2"/>
  <c r="D48" i="2"/>
  <c r="A48" i="2"/>
  <c r="K45" i="2"/>
  <c r="H48" i="2" l="1"/>
  <c r="A51" i="2" a="1"/>
  <c r="G48" i="2"/>
  <c r="A51" i="2" l="1"/>
  <c r="E51" i="2"/>
  <c r="B51" i="2"/>
  <c r="C51" i="2"/>
  <c r="D51" i="2"/>
  <c r="K46" i="2"/>
  <c r="H51" i="2" l="1"/>
  <c r="G51" i="2"/>
  <c r="K47" i="2" l="1"/>
  <c r="H52" i="2"/>
  <c r="H59" i="2" s="1"/>
</calcChain>
</file>

<file path=xl/sharedStrings.xml><?xml version="1.0" encoding="utf-8"?>
<sst xmlns="http://schemas.openxmlformats.org/spreadsheetml/2006/main" count="374" uniqueCount="182">
  <si>
    <t>α1</t>
  </si>
  <si>
    <t>α2</t>
  </si>
  <si>
    <t>μ1</t>
  </si>
  <si>
    <t>μ2</t>
  </si>
  <si>
    <t>N</t>
  </si>
  <si>
    <t>E1</t>
  </si>
  <si>
    <t>E2</t>
  </si>
  <si>
    <t>Er1/Er2</t>
  </si>
  <si>
    <t>F (N)</t>
  </si>
  <si>
    <t>Figure 2.19</t>
  </si>
  <si>
    <t>q</t>
  </si>
  <si>
    <t>h</t>
  </si>
  <si>
    <t>a</t>
  </si>
  <si>
    <t>ωr (N) {in}</t>
  </si>
  <si>
    <t>ω</t>
  </si>
  <si>
    <r>
      <rPr>
        <sz val="11"/>
        <color rgb="FFFF0000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=Log {1-ωr (N)/ω}</t>
    </r>
  </si>
  <si>
    <r>
      <rPr>
        <sz val="11"/>
        <color rgb="FFFF0000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=Log{N}</t>
    </r>
  </si>
  <si>
    <t>in</t>
  </si>
  <si>
    <t>psi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</si>
  <si>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</si>
  <si>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</si>
  <si>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</si>
  <si>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</si>
  <si>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</si>
  <si>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</si>
  <si>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</si>
  <si>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</si>
  <si>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</si>
  <si>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</si>
  <si>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</si>
  <si>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</si>
  <si>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</si>
  <si>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</si>
  <si>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</si>
  <si>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</si>
  <si>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</si>
  <si>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</si>
  <si>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</si>
  <si>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</si>
  <si>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</si>
  <si>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</si>
  <si>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</si>
  <si>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</si>
  <si>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X Variable 1</t>
  </si>
  <si>
    <t>1-ωr (N)/ω</t>
  </si>
  <si>
    <t>μsys.</t>
  </si>
  <si>
    <t>αsys.</t>
  </si>
  <si>
    <t>Rut Depth (in)</t>
  </si>
  <si>
    <t>Eq. 7.47</t>
  </si>
  <si>
    <t>Log {1-ωr (N)/ω} = -αsys.*Log{μsys.*N} == Y=A+BX</t>
  </si>
  <si>
    <r>
      <t>Log{μsys.} = A (Intercept) &gt;&gt;&gt;</t>
    </r>
    <r>
      <rPr>
        <sz val="11"/>
        <color rgb="FFFF0000"/>
        <rFont val="Calibri"/>
        <family val="2"/>
        <scheme val="minor"/>
      </rPr>
      <t xml:space="preserve"> μsys.=0.221</t>
    </r>
  </si>
  <si>
    <r>
      <t xml:space="preserve">B = -αsys. &gt;&gt;&gt; </t>
    </r>
    <r>
      <rPr>
        <sz val="11"/>
        <color rgb="FFFF0000"/>
        <rFont val="Calibri"/>
        <family val="2"/>
        <scheme val="minor"/>
      </rPr>
      <t>αsys. = 0.65978</t>
    </r>
  </si>
  <si>
    <r>
      <t>Rut Depth = integration of</t>
    </r>
    <r>
      <rPr>
        <sz val="11"/>
        <color rgb="FFFF0000"/>
        <rFont val="Calibri"/>
        <family val="2"/>
        <scheme val="minor"/>
      </rPr>
      <t xml:space="preserve"> Eq. 7.48b     </t>
    </r>
    <r>
      <rPr>
        <sz val="11"/>
        <color theme="1"/>
        <rFont val="Calibri"/>
        <family val="2"/>
        <scheme val="minor"/>
      </rPr>
      <t xml:space="preserve">                                          Rut Depth = int. {μsys.ω*N^(-αsys)} &gt;&gt;&gt; = {μsys.ω*N^(1-αsys)}/1-αsys)</t>
    </r>
  </si>
  <si>
    <t>Solve By Regression</t>
  </si>
  <si>
    <t>Er1 (N) psi</t>
  </si>
  <si>
    <t>Er2 (N) psi</t>
  </si>
  <si>
    <r>
      <rPr>
        <b/>
        <sz val="11"/>
        <color theme="1"/>
        <rFont val="Calibri"/>
        <family val="2"/>
        <scheme val="minor"/>
      </rPr>
      <t xml:space="preserve">Sample Calculations to find F2(N) from Figure 2.17, use interpolation.        </t>
    </r>
    <r>
      <rPr>
        <sz val="11"/>
        <color theme="1"/>
        <rFont val="Calibri"/>
        <family val="2"/>
        <scheme val="minor"/>
      </rPr>
      <t xml:space="preserve">                    </t>
    </r>
    <r>
      <rPr>
        <sz val="11"/>
        <color rgb="FFFF0000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 xml:space="preserve"> ***For Er1/Er2 = 45.76 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     Fig.2.17 &gt;&gt;&gt; (Er1/Er2=20, F2=0.23), (Er1/Er2=50, F2=0.17), (Er1/Er2=45.76, F2=??)         by interpolation &gt;&gt;&gt;&gt; </t>
    </r>
    <r>
      <rPr>
        <b/>
        <sz val="11"/>
        <color theme="1"/>
        <rFont val="Calibri"/>
        <family val="2"/>
        <scheme val="minor"/>
      </rPr>
      <t>At Er1/Er2=45.76,</t>
    </r>
    <r>
      <rPr>
        <b/>
        <sz val="11"/>
        <color theme="4"/>
        <rFont val="Calibri"/>
        <family val="2"/>
        <scheme val="minor"/>
      </rPr>
      <t xml:space="preserve"> F2=0.1785     </t>
    </r>
    <r>
      <rPr>
        <sz val="11"/>
        <color theme="4"/>
        <rFont val="Calibri"/>
        <family val="2"/>
        <scheme val="minor"/>
      </rPr>
      <t xml:space="preserve">                                                       </t>
    </r>
    <r>
      <rPr>
        <sz val="11"/>
        <rFont val="Calibri"/>
        <family val="2"/>
        <scheme val="minor"/>
      </rPr>
      <t>--------------------------</t>
    </r>
    <r>
      <rPr>
        <sz val="11"/>
        <color theme="4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 xml:space="preserve">                    </t>
    </r>
    <r>
      <rPr>
        <b/>
        <sz val="1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***For Er1/Er2 = 15.15</t>
    </r>
    <r>
      <rPr>
        <b/>
        <sz val="11"/>
        <rFont val="Calibri"/>
        <family val="2"/>
        <scheme val="minor"/>
      </rPr>
      <t xml:space="preserve">  </t>
    </r>
    <r>
      <rPr>
        <sz val="11"/>
        <rFont val="Calibri"/>
        <family val="2"/>
        <scheme val="minor"/>
      </rPr>
      <t xml:space="preserve">    Fig.2.17 &gt;&gt;&gt; (Er1/Er2=50, F2=0.0.17), (Er1/Er2=100, F2=0.14), (Er1/Er2=50.15, F2=??)                                        by interpolation &gt;&gt;&gt;&gt; </t>
    </r>
    <r>
      <rPr>
        <b/>
        <sz val="11"/>
        <rFont val="Calibri"/>
        <family val="2"/>
        <scheme val="minor"/>
      </rPr>
      <t xml:space="preserve">At Er1/Er2=50.15, </t>
    </r>
    <r>
      <rPr>
        <b/>
        <sz val="11"/>
        <color theme="4"/>
        <rFont val="Calibri"/>
        <family val="2"/>
        <scheme val="minor"/>
      </rPr>
      <t>F2=0.16991</t>
    </r>
  </si>
  <si>
    <t xml:space="preserve">S(0) </t>
  </si>
  <si>
    <t xml:space="preserve">A </t>
  </si>
  <si>
    <t>B</t>
  </si>
  <si>
    <t>C</t>
  </si>
  <si>
    <t>D</t>
  </si>
  <si>
    <t>E</t>
  </si>
  <si>
    <t xml:space="preserve">CHECK (SUM) </t>
  </si>
  <si>
    <t xml:space="preserve">NEW PAVEMENT </t>
  </si>
  <si>
    <t>STATE NUMBER</t>
  </si>
  <si>
    <t>AVG. PSI</t>
  </si>
  <si>
    <t xml:space="preserve">MIN. PSI </t>
  </si>
  <si>
    <t>MAX. PSI</t>
  </si>
  <si>
    <t>PSI (0)</t>
  </si>
  <si>
    <t xml:space="preserve">P </t>
  </si>
  <si>
    <t>m</t>
  </si>
  <si>
    <t>⌂P</t>
  </si>
  <si>
    <t>Initial P1,2</t>
  </si>
  <si>
    <t>Given</t>
  </si>
  <si>
    <t>Terminal P</t>
  </si>
  <si>
    <t>Check (1)</t>
  </si>
  <si>
    <t>MIN. PCI</t>
  </si>
  <si>
    <t>MAX. PCI</t>
  </si>
  <si>
    <t>S(1) =S(0) *P</t>
  </si>
  <si>
    <t>PCI (0)</t>
  </si>
  <si>
    <t>PSI (1)</t>
  </si>
  <si>
    <t>S(2) =S(1) *P</t>
  </si>
  <si>
    <t>S(3) =S(2) *P</t>
  </si>
  <si>
    <t>S(4) =S(3) *P</t>
  </si>
  <si>
    <t>S(5) =S(4) *P</t>
  </si>
  <si>
    <t>PSI (2)</t>
  </si>
  <si>
    <t>PSI (3)</t>
  </si>
  <si>
    <t>PSI (4)</t>
  </si>
  <si>
    <t>PSI (5)</t>
  </si>
  <si>
    <t xml:space="preserve">Time </t>
  </si>
  <si>
    <t>PSI (T)</t>
  </si>
  <si>
    <t>Rehabilitation applied to states 4 and 5 only</t>
  </si>
  <si>
    <t>X4 =</t>
  </si>
  <si>
    <t>X5 =</t>
  </si>
  <si>
    <t>check</t>
  </si>
  <si>
    <t>X3</t>
  </si>
  <si>
    <t>Sr(6) =Sr(5) *P</t>
  </si>
  <si>
    <t>Sr(8) =Sr(7) *P</t>
  </si>
  <si>
    <t>Sr(7) =Sr(6) *P</t>
  </si>
  <si>
    <t>Sr(9) =Sr(8) *P</t>
  </si>
  <si>
    <t>PSIr (5)</t>
  </si>
  <si>
    <t>PSIr (6)</t>
  </si>
  <si>
    <t>PSIr (7)</t>
  </si>
  <si>
    <t>PSI (8)</t>
  </si>
  <si>
    <t>PSI (9)</t>
  </si>
  <si>
    <t>PSI (10)</t>
  </si>
  <si>
    <t>Sr(10) =Sr(9) *P</t>
  </si>
  <si>
    <t>Rehabilitation COST</t>
  </si>
  <si>
    <t>Variable Limits</t>
  </si>
  <si>
    <t xml:space="preserve">Cost-Effectiveness Index </t>
  </si>
  <si>
    <t>Trial Solutions</t>
  </si>
  <si>
    <t>TC</t>
  </si>
  <si>
    <t>Total Cost (TC) =</t>
  </si>
  <si>
    <t>Budget $</t>
  </si>
  <si>
    <t>take the minimum</t>
  </si>
  <si>
    <t xml:space="preserve">Average PSI </t>
  </si>
  <si>
    <r>
      <t>Rehabilitated pavements will transit to state</t>
    </r>
    <r>
      <rPr>
        <b/>
        <sz val="12"/>
        <color rgb="FFFF0000"/>
        <rFont val="Times New Roman"/>
        <family val="1"/>
      </rPr>
      <t xml:space="preserve"> 1</t>
    </r>
  </si>
  <si>
    <r>
      <t>S</t>
    </r>
    <r>
      <rPr>
        <b/>
        <vertAlign val="subscript"/>
        <sz val="12"/>
        <color theme="1"/>
        <rFont val="Times New Roman"/>
        <family val="1"/>
      </rPr>
      <t>R</t>
    </r>
    <r>
      <rPr>
        <b/>
        <sz val="12"/>
        <color theme="1"/>
        <rFont val="Times New Roman"/>
        <family val="1"/>
      </rPr>
      <t>(5)</t>
    </r>
  </si>
  <si>
    <r>
      <t>C</t>
    </r>
    <r>
      <rPr>
        <vertAlign val="subscript"/>
        <sz val="12"/>
        <color theme="1"/>
        <rFont val="Times New Roman"/>
        <family val="1"/>
      </rPr>
      <t>4</t>
    </r>
    <r>
      <rPr>
        <sz val="12"/>
        <color theme="1"/>
        <rFont val="Times New Roman"/>
        <family val="1"/>
      </rPr>
      <t xml:space="preserve"> ($/m</t>
    </r>
    <r>
      <rPr>
        <vertAlign val="super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)=</t>
    </r>
  </si>
  <si>
    <r>
      <t>C</t>
    </r>
    <r>
      <rPr>
        <vertAlign val="subscript"/>
        <sz val="12"/>
        <color theme="1"/>
        <rFont val="Times New Roman"/>
        <family val="1"/>
      </rPr>
      <t xml:space="preserve">5  </t>
    </r>
    <r>
      <rPr>
        <sz val="12"/>
        <color theme="1"/>
        <rFont val="Times New Roman"/>
        <family val="1"/>
      </rPr>
      <t>($/m</t>
    </r>
    <r>
      <rPr>
        <vertAlign val="super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) =</t>
    </r>
  </si>
  <si>
    <r>
      <t>Project Area (m</t>
    </r>
    <r>
      <rPr>
        <vertAlign val="super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) =</t>
    </r>
  </si>
  <si>
    <r>
      <t>I</t>
    </r>
    <r>
      <rPr>
        <b/>
        <vertAlign val="subscript"/>
        <sz val="12"/>
        <color theme="1"/>
        <rFont val="Times New Roman"/>
        <family val="1"/>
      </rPr>
      <t>CE</t>
    </r>
  </si>
  <si>
    <r>
      <t>Need to minimze I</t>
    </r>
    <r>
      <rPr>
        <vertAlign val="subscript"/>
        <sz val="12"/>
        <color theme="1"/>
        <rFont val="Times New Roman"/>
        <family val="1"/>
      </rPr>
      <t>CE</t>
    </r>
  </si>
  <si>
    <r>
      <t>X</t>
    </r>
    <r>
      <rPr>
        <vertAlign val="subscript"/>
        <sz val="12"/>
        <color theme="1"/>
        <rFont val="Times New Roman"/>
        <family val="1"/>
      </rPr>
      <t>4</t>
    </r>
  </si>
  <si>
    <r>
      <t>X</t>
    </r>
    <r>
      <rPr>
        <vertAlign val="subscript"/>
        <sz val="12"/>
        <color theme="1"/>
        <rFont val="Times New Roman"/>
        <family val="1"/>
      </rPr>
      <t>5</t>
    </r>
  </si>
  <si>
    <r>
      <t>MX</t>
    </r>
    <r>
      <rPr>
        <vertAlign val="subscript"/>
        <sz val="12"/>
        <color theme="1"/>
        <rFont val="Times New Roman"/>
        <family val="1"/>
      </rPr>
      <t>4</t>
    </r>
  </si>
  <si>
    <r>
      <t>Avg PSI</t>
    </r>
    <r>
      <rPr>
        <vertAlign val="subscript"/>
        <sz val="12"/>
        <color theme="1"/>
        <rFont val="Times New Roman"/>
        <family val="1"/>
      </rPr>
      <t>R</t>
    </r>
  </si>
  <si>
    <r>
      <t>I</t>
    </r>
    <r>
      <rPr>
        <vertAlign val="subscript"/>
        <sz val="12"/>
        <color theme="1"/>
        <rFont val="Times New Roman"/>
        <family val="1"/>
      </rPr>
      <t>CE</t>
    </r>
  </si>
  <si>
    <r>
      <t>MX</t>
    </r>
    <r>
      <rPr>
        <vertAlign val="subscript"/>
        <sz val="12"/>
        <color theme="1"/>
        <rFont val="Times New Roman"/>
        <family val="1"/>
      </rPr>
      <t>5</t>
    </r>
  </si>
  <si>
    <t>X4</t>
  </si>
  <si>
    <t>X3 =</t>
  </si>
  <si>
    <r>
      <t>S</t>
    </r>
    <r>
      <rPr>
        <b/>
        <vertAlign val="subscript"/>
        <sz val="12"/>
        <color theme="1"/>
        <rFont val="Times New Roman"/>
        <family val="1"/>
      </rPr>
      <t>R</t>
    </r>
    <r>
      <rPr>
        <b/>
        <sz val="12"/>
        <color theme="1"/>
        <rFont val="Times New Roman"/>
        <family val="1"/>
      </rPr>
      <t>(4)</t>
    </r>
  </si>
  <si>
    <t>Sr(5) =Sr(4) *P</t>
  </si>
  <si>
    <t>Pb %</t>
  </si>
  <si>
    <t>Gm</t>
  </si>
  <si>
    <t>Gb</t>
  </si>
  <si>
    <t>Gg</t>
  </si>
  <si>
    <t>Sb  Fig.7.19       *10^8</t>
  </si>
  <si>
    <t>bitumen content</t>
  </si>
  <si>
    <t>bulk specific gravity of the mixture</t>
  </si>
  <si>
    <r>
      <t xml:space="preserve">specific gravity of the  </t>
    </r>
    <r>
      <rPr>
        <sz val="10"/>
        <color rgb="FFFF0000"/>
        <rFont val="Times-Roman"/>
      </rPr>
      <t>bitumen</t>
    </r>
    <r>
      <rPr>
        <sz val="10"/>
        <color rgb="FF000000"/>
        <rFont val="Times-Roman"/>
      </rPr>
      <t xml:space="preserve"> </t>
    </r>
  </si>
  <si>
    <r>
      <t xml:space="preserve">specific gravity of the </t>
    </r>
    <r>
      <rPr>
        <sz val="10"/>
        <color rgb="FFFF0000"/>
        <rFont val="Times-Roman"/>
      </rPr>
      <t>aggregate</t>
    </r>
  </si>
  <si>
    <t>page 318</t>
  </si>
  <si>
    <t>Eq.7.20</t>
  </si>
  <si>
    <t>Eq.7.21</t>
  </si>
  <si>
    <t>Eq.7.24a</t>
  </si>
  <si>
    <t>Eq.7.24b</t>
  </si>
  <si>
    <t>Eq.7.24c</t>
  </si>
  <si>
    <t>Eq.7.24d</t>
  </si>
  <si>
    <t>Eq.7.25a</t>
  </si>
  <si>
    <t>Eq.7.25b</t>
  </si>
  <si>
    <t>Vg %</t>
  </si>
  <si>
    <t>Vb %</t>
  </si>
  <si>
    <t>β1</t>
  </si>
  <si>
    <t>β2</t>
  </si>
  <si>
    <t>β3</t>
  </si>
  <si>
    <t>β4</t>
  </si>
  <si>
    <t>Sm (N/m2)</t>
  </si>
  <si>
    <t xml:space="preserve">volume of aggregate </t>
  </si>
  <si>
    <t>volume of bitumen</t>
  </si>
  <si>
    <t>volume of air void</t>
  </si>
  <si>
    <t>Confining Pressure (psi)</t>
  </si>
  <si>
    <t>Deviaator Stress (psi)</t>
  </si>
  <si>
    <t>Recoverable strain</t>
  </si>
  <si>
    <t>Mr (psi)</t>
  </si>
  <si>
    <t>Ⴔ = Conf.+3*Dev.</t>
  </si>
  <si>
    <t>log Mr = Y</t>
  </si>
  <si>
    <t>log Ⴔ =X</t>
  </si>
  <si>
    <t>log Dev. =X</t>
  </si>
  <si>
    <t xml:space="preserve">Test # </t>
  </si>
  <si>
    <t>Initial Modulus (psi)</t>
  </si>
  <si>
    <t>Y = log E</t>
  </si>
  <si>
    <t>E0</t>
  </si>
  <si>
    <t xml:space="preserve">Load Duration </t>
  </si>
  <si>
    <t xml:space="preserve">Strain </t>
  </si>
  <si>
    <t>Log (Strain ) =Y</t>
  </si>
  <si>
    <t>Log (Load Duration ) =X</t>
  </si>
  <si>
    <t># of Rep.</t>
  </si>
  <si>
    <t xml:space="preserve">log # = X </t>
  </si>
  <si>
    <t>log Strain =Y</t>
  </si>
  <si>
    <t>Stress (psi) = 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</si>
</sst>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0"/>
    <numFmt numFmtId="165" formatCode="0.000"/>
    <numFmt numFmtId="166" formatCode="0.0000"/>
    <numFmt numFmtId="167" formatCode="0.0"/>
    <numFmt numFmtId="168" formatCode="0.0000000"/>
  </numFmts>
  <fonts count="2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b/>
      <vertAlign val="subscript"/>
      <sz val="12"/>
      <color theme="1"/>
      <name val="Times New Roman"/>
      <family val="1"/>
    </font>
    <font>
      <sz val="12"/>
      <color rgb="FFF93D3D"/>
      <name val="Times New Roman"/>
      <family val="1"/>
    </font>
    <font>
      <b/>
      <i/>
      <sz val="12"/>
      <color theme="1"/>
      <name val="Times New Roman"/>
      <family val="1"/>
    </font>
    <font>
      <vertAlign val="subscript"/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sz val="10"/>
      <color rgb="FF000000"/>
      <name val="Times-Roman"/>
    </font>
    <font>
      <sz val="10"/>
      <color rgb="FFFF0000"/>
      <name val="Times-Roman"/>
    </font>
    <font>
      <sz val="11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7706D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 applyFill="1" applyBorder="1" applyAlignment="1"/>
    <xf numFmtId="0" fontId="0" fillId="0" borderId="2" xfId="0" applyFill="1" applyBorder="1" applyAlignment="1"/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Continuous"/>
    </xf>
    <xf numFmtId="0" fontId="0" fillId="0" borderId="0" xfId="0" applyAlignment="1">
      <alignment horizontal="center"/>
    </xf>
    <xf numFmtId="0" fontId="0" fillId="0" borderId="0" xfId="0" applyBorder="1"/>
    <xf numFmtId="0" fontId="3" fillId="0" borderId="0" xfId="0" applyFont="1" applyFill="1" applyBorder="1" applyAlignment="1">
      <alignment horizontal="centerContinuous"/>
    </xf>
    <xf numFmtId="0" fontId="1" fillId="0" borderId="0" xfId="0" applyFont="1" applyAlignment="1">
      <alignment horizontal="center"/>
    </xf>
    <xf numFmtId="167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6" fontId="0" fillId="0" borderId="1" xfId="0" applyNumberFormat="1" applyBorder="1" applyAlignment="1">
      <alignment horizontal="center" vertical="center"/>
    </xf>
    <xf numFmtId="0" fontId="0" fillId="0" borderId="7" xfId="0" applyBorder="1" applyAlignment="1">
      <alignment horizontal="center"/>
    </xf>
    <xf numFmtId="167" fontId="0" fillId="0" borderId="7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6" fontId="0" fillId="0" borderId="7" xfId="0" applyNumberFormat="1" applyBorder="1" applyAlignment="1">
      <alignment horizontal="center" vertic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 applyFill="1" applyBorder="1" applyAlignment="1"/>
    <xf numFmtId="164" fontId="0" fillId="0" borderId="2" xfId="0" applyNumberFormat="1" applyFill="1" applyBorder="1" applyAlignment="1"/>
    <xf numFmtId="0" fontId="0" fillId="2" borderId="13" xfId="0" applyFill="1" applyBorder="1"/>
    <xf numFmtId="0" fontId="0" fillId="2" borderId="0" xfId="0" applyFill="1" applyBorder="1"/>
    <xf numFmtId="0" fontId="0" fillId="2" borderId="14" xfId="0" applyFill="1" applyBorder="1"/>
    <xf numFmtId="0" fontId="0" fillId="0" borderId="0" xfId="0" applyBorder="1" applyAlignment="1">
      <alignment vertical="top" wrapText="1"/>
    </xf>
    <xf numFmtId="0" fontId="0" fillId="2" borderId="9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4" fillId="0" borderId="0" xfId="0" applyFont="1"/>
    <xf numFmtId="0" fontId="10" fillId="0" borderId="0" xfId="0" applyFont="1"/>
    <xf numFmtId="0" fontId="5" fillId="0" borderId="0" xfId="0" applyFont="1" applyAlignment="1">
      <alignment horizontal="center"/>
    </xf>
    <xf numFmtId="166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166" fontId="0" fillId="0" borderId="0" xfId="0" applyNumberFormat="1"/>
    <xf numFmtId="0" fontId="4" fillId="2" borderId="0" xfId="0" applyFont="1" applyFill="1" applyAlignment="1">
      <alignment horizontal="center"/>
    </xf>
    <xf numFmtId="165" fontId="0" fillId="0" borderId="0" xfId="0" applyNumberForma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66" fontId="12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1" fillId="2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165" fontId="11" fillId="0" borderId="0" xfId="0" applyNumberFormat="1" applyFont="1" applyAlignment="1">
      <alignment horizontal="center"/>
    </xf>
    <xf numFmtId="165" fontId="12" fillId="0" borderId="0" xfId="0" applyNumberFormat="1" applyFont="1" applyAlignment="1">
      <alignment horizontal="center"/>
    </xf>
    <xf numFmtId="166" fontId="12" fillId="0" borderId="0" xfId="0" applyNumberFormat="1" applyFont="1"/>
    <xf numFmtId="166" fontId="13" fillId="0" borderId="0" xfId="0" applyNumberFormat="1" applyFont="1" applyAlignment="1">
      <alignment horizontal="center"/>
    </xf>
    <xf numFmtId="0" fontId="15" fillId="2" borderId="0" xfId="0" applyFont="1" applyFill="1" applyAlignment="1">
      <alignment horizontal="center"/>
    </xf>
    <xf numFmtId="0" fontId="11" fillId="0" borderId="0" xfId="0" applyFont="1"/>
    <xf numFmtId="166" fontId="13" fillId="0" borderId="0" xfId="0" applyNumberFormat="1" applyFont="1"/>
    <xf numFmtId="164" fontId="13" fillId="0" borderId="0" xfId="0" applyNumberFormat="1" applyFont="1"/>
    <xf numFmtId="165" fontId="15" fillId="0" borderId="0" xfId="0" applyNumberFormat="1" applyFont="1" applyAlignment="1">
      <alignment horizontal="center"/>
    </xf>
    <xf numFmtId="165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165" fontId="18" fillId="4" borderId="0" xfId="0" applyNumberFormat="1" applyFont="1" applyFill="1" applyAlignment="1">
      <alignment horizontal="center"/>
    </xf>
    <xf numFmtId="0" fontId="15" fillId="0" borderId="0" xfId="0" applyFont="1"/>
    <xf numFmtId="0" fontId="11" fillId="9" borderId="0" xfId="0" applyFont="1" applyFill="1" applyAlignment="1">
      <alignment horizontal="center"/>
    </xf>
    <xf numFmtId="0" fontId="11" fillId="0" borderId="0" xfId="0" applyFont="1" applyAlignment="1"/>
    <xf numFmtId="0" fontId="12" fillId="8" borderId="0" xfId="0" applyFont="1" applyFill="1" applyAlignment="1">
      <alignment horizontal="center"/>
    </xf>
    <xf numFmtId="167" fontId="12" fillId="0" borderId="0" xfId="0" applyNumberFormat="1" applyFont="1" applyAlignment="1">
      <alignment horizontal="center"/>
    </xf>
    <xf numFmtId="166" fontId="14" fillId="0" borderId="0" xfId="0" applyNumberFormat="1" applyFont="1" applyAlignment="1">
      <alignment horizontal="center"/>
    </xf>
    <xf numFmtId="0" fontId="14" fillId="0" borderId="0" xfId="0" applyFont="1"/>
    <xf numFmtId="0" fontId="0" fillId="0" borderId="0" xfId="0" applyAlignment="1">
      <alignment horizontal="center"/>
    </xf>
    <xf numFmtId="11" fontId="0" fillId="0" borderId="0" xfId="0" applyNumberFormat="1"/>
    <xf numFmtId="0" fontId="21" fillId="0" borderId="0" xfId="0" applyFont="1" applyAlignment="1">
      <alignment vertical="center" wrapText="1"/>
    </xf>
    <xf numFmtId="0" fontId="21" fillId="0" borderId="0" xfId="0" applyFont="1" applyAlignment="1">
      <alignment wrapText="1"/>
    </xf>
    <xf numFmtId="0" fontId="0" fillId="8" borderId="7" xfId="0" applyFill="1" applyBorder="1" applyAlignment="1">
      <alignment horizontal="center"/>
    </xf>
    <xf numFmtId="0" fontId="23" fillId="8" borderId="7" xfId="0" applyFon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23" fillId="2" borderId="1" xfId="0" applyNumberFormat="1" applyFon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11" fontId="0" fillId="2" borderId="1" xfId="0" applyNumberFormat="1" applyFill="1" applyBorder="1" applyAlignment="1">
      <alignment horizontal="center"/>
    </xf>
    <xf numFmtId="0" fontId="23" fillId="0" borderId="0" xfId="0" applyFont="1"/>
    <xf numFmtId="168" fontId="0" fillId="0" borderId="0" xfId="0" applyNumberFormat="1"/>
    <xf numFmtId="11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" fillId="0" borderId="0" xfId="0" applyFont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5" borderId="5" xfId="0" applyFill="1" applyBorder="1" applyAlignment="1">
      <alignment horizontal="center" vertical="top" wrapText="1"/>
    </xf>
    <xf numFmtId="0" fontId="0" fillId="5" borderId="4" xfId="0" applyFill="1" applyBorder="1" applyAlignment="1">
      <alignment horizontal="center" vertical="top" wrapText="1"/>
    </xf>
    <xf numFmtId="0" fontId="0" fillId="5" borderId="6" xfId="0" applyFill="1" applyBorder="1" applyAlignment="1">
      <alignment horizontal="center" vertical="top" wrapText="1"/>
    </xf>
    <xf numFmtId="0" fontId="0" fillId="5" borderId="13" xfId="0" applyFill="1" applyBorder="1" applyAlignment="1">
      <alignment horizontal="center" vertical="top" wrapText="1"/>
    </xf>
    <xf numFmtId="0" fontId="0" fillId="5" borderId="0" xfId="0" applyFill="1" applyBorder="1" applyAlignment="1">
      <alignment horizontal="center" vertical="top" wrapText="1"/>
    </xf>
    <xf numFmtId="0" fontId="0" fillId="5" borderId="14" xfId="0" applyFill="1" applyBorder="1" applyAlignment="1">
      <alignment horizontal="center" vertical="top" wrapText="1"/>
    </xf>
    <xf numFmtId="0" fontId="0" fillId="5" borderId="15" xfId="0" applyFill="1" applyBorder="1" applyAlignment="1">
      <alignment horizontal="center" vertical="top" wrapText="1"/>
    </xf>
    <xf numFmtId="0" fontId="0" fillId="5" borderId="2" xfId="0" applyFill="1" applyBorder="1" applyAlignment="1">
      <alignment horizontal="center" vertical="top" wrapText="1"/>
    </xf>
    <xf numFmtId="0" fontId="0" fillId="5" borderId="16" xfId="0" applyFill="1" applyBorder="1" applyAlignment="1">
      <alignment horizontal="center" vertical="top" wrapText="1"/>
    </xf>
    <xf numFmtId="0" fontId="0" fillId="5" borderId="5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11" fillId="6" borderId="0" xfId="0" applyFont="1" applyFill="1" applyAlignment="1">
      <alignment horizontal="center"/>
    </xf>
    <xf numFmtId="0" fontId="12" fillId="8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18" fillId="4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4" fillId="6" borderId="0" xfId="0" applyFont="1" applyFill="1" applyAlignment="1">
      <alignment horizontal="center"/>
    </xf>
    <xf numFmtId="0" fontId="11" fillId="7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4" fillId="7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93D3D"/>
      <color rgb="FFF7706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Pavement</a:t>
            </a:r>
            <a:r>
              <a:rPr lang="en-US" baseline="0"/>
              <a:t> Performance Curve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'Markov (5 states)'!$J$18:$J$23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'Markov (5 states)'!$K$18:$K$23</c:f>
              <c:numCache>
                <c:formatCode>0.000</c:formatCode>
                <c:ptCount val="6"/>
                <c:pt idx="0" formatCode="General">
                  <c:v>4.25</c:v>
                </c:pt>
                <c:pt idx="1">
                  <c:v>3.95</c:v>
                </c:pt>
                <c:pt idx="2">
                  <c:v>3.6900000000000004</c:v>
                </c:pt>
                <c:pt idx="3">
                  <c:v>3.464666666666667</c:v>
                </c:pt>
                <c:pt idx="4">
                  <c:v>3.2693777777777777</c:v>
                </c:pt>
                <c:pt idx="5">
                  <c:v>3.1007496296296297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605-4D30-9F97-ECD560A2F2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5053231"/>
        <c:axId val="635054063"/>
      </c:scatterChart>
      <c:valAx>
        <c:axId val="6350532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5054063"/>
        <c:crosses val="autoZero"/>
        <c:crossBetween val="midCat"/>
      </c:valAx>
      <c:valAx>
        <c:axId val="63505406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505323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Pavement Performance Curve After Rehabilitation 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8522124509135218E-2"/>
          <c:y val="0.21223567355255085"/>
          <c:w val="0.93372456277440419"/>
          <c:h val="0.68919575839797376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'Markov (5 states)'!$J$36:$J$47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</c:numCache>
            </c:numRef>
          </c:xVal>
          <c:yVal>
            <c:numRef>
              <c:f>'Markov (5 states)'!$K$36:$K$47</c:f>
              <c:numCache>
                <c:formatCode>General</c:formatCode>
                <c:ptCount val="12"/>
                <c:pt idx="0">
                  <c:v>4.25</c:v>
                </c:pt>
                <c:pt idx="1">
                  <c:v>3.95</c:v>
                </c:pt>
                <c:pt idx="2">
                  <c:v>3.6900000000000004</c:v>
                </c:pt>
                <c:pt idx="3" formatCode="0.000">
                  <c:v>3.464666666666667</c:v>
                </c:pt>
                <c:pt idx="4" formatCode="0.000">
                  <c:v>3.2693777777777777</c:v>
                </c:pt>
                <c:pt idx="5" formatCode="0.000">
                  <c:v>3.1007496296296297</c:v>
                </c:pt>
                <c:pt idx="6" formatCode="0.000">
                  <c:v>3.3938496296296301</c:v>
                </c:pt>
                <c:pt idx="7" formatCode="0.000">
                  <c:v>3.2086085679012348</c:v>
                </c:pt>
                <c:pt idx="8" formatCode="0.000">
                  <c:v>3.0494339687242804</c:v>
                </c:pt>
                <c:pt idx="9" formatCode="0.000">
                  <c:v>2.9135502049931414</c:v>
                </c:pt>
                <c:pt idx="10" formatCode="0.000">
                  <c:v>2.7982408615564704</c:v>
                </c:pt>
                <c:pt idx="11" formatCode="0.000">
                  <c:v>2.7010068632035362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3E7-4130-B59B-AA3EC8D95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3865791"/>
        <c:axId val="743867039"/>
      </c:scatterChart>
      <c:valAx>
        <c:axId val="743865791"/>
        <c:scaling>
          <c:orientation val="minMax"/>
          <c:max val="1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3867039"/>
        <c:crosses val="autoZero"/>
        <c:crossBetween val="midCat"/>
      </c:valAx>
      <c:valAx>
        <c:axId val="743867039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386579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Pavement</a:t>
            </a:r>
            <a:r>
              <a:rPr lang="en-US" baseline="0"/>
              <a:t> Performance Curve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'Markov (4 states)'!$J$18:$J$22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xVal>
          <c:yVal>
            <c:numRef>
              <c:f>'Markov (4 states)'!$K$18:$K$22</c:f>
              <c:numCache>
                <c:formatCode>0.000</c:formatCode>
                <c:ptCount val="5"/>
                <c:pt idx="0" formatCode="General">
                  <c:v>4.25</c:v>
                </c:pt>
                <c:pt idx="1">
                  <c:v>3.95</c:v>
                </c:pt>
                <c:pt idx="2">
                  <c:v>3.71</c:v>
                </c:pt>
                <c:pt idx="3">
                  <c:v>3.5180000000000002</c:v>
                </c:pt>
                <c:pt idx="4">
                  <c:v>3.3643999999999998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89F-42F9-A3D9-48DAF9D61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5053231"/>
        <c:axId val="635054063"/>
      </c:scatterChart>
      <c:valAx>
        <c:axId val="6350532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5054063"/>
        <c:crosses val="autoZero"/>
        <c:crossBetween val="midCat"/>
      </c:valAx>
      <c:valAx>
        <c:axId val="63505406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505323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'Markov (4 states)'!$J$36:$J$45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'Markov (4 states)'!$K$36:$K$45</c:f>
              <c:numCache>
                <c:formatCode>General</c:formatCode>
                <c:ptCount val="10"/>
                <c:pt idx="0">
                  <c:v>4.25</c:v>
                </c:pt>
                <c:pt idx="1">
                  <c:v>3.95</c:v>
                </c:pt>
                <c:pt idx="2">
                  <c:v>3.71</c:v>
                </c:pt>
                <c:pt idx="3" formatCode="0.000">
                  <c:v>3.5180000000000002</c:v>
                </c:pt>
                <c:pt idx="4" formatCode="0.000">
                  <c:v>3.3643999999999998</c:v>
                </c:pt>
                <c:pt idx="5" formatCode="0.000">
                  <c:v>3.6110499999999996</c:v>
                </c:pt>
                <c:pt idx="6" formatCode="0.000">
                  <c:v>3.4446700000000003</c:v>
                </c:pt>
                <c:pt idx="7" formatCode="0.000">
                  <c:v>3.3115659999999996</c:v>
                </c:pt>
                <c:pt idx="8" formatCode="0.000">
                  <c:v>3.2050827999999996</c:v>
                </c:pt>
                <c:pt idx="9" formatCode="0.000">
                  <c:v>3.1198962399999992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68-4FAF-A78E-2D40E735A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296447"/>
        <c:axId val="751304351"/>
      </c:scatterChart>
      <c:valAx>
        <c:axId val="7512964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1304351"/>
        <c:crosses val="autoZero"/>
        <c:crossBetween val="midCat"/>
      </c:valAx>
      <c:valAx>
        <c:axId val="751304351"/>
        <c:scaling>
          <c:orientation val="minMax"/>
          <c:min val="2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129644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olid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'P7.2'!$A$2:$A$4</c:f>
              <c:numCache>
                <c:formatCode>General</c:formatCode>
                <c:ptCount val="3"/>
                <c:pt idx="0">
                  <c:v>2</c:v>
                </c:pt>
                <c:pt idx="1">
                  <c:v>4</c:v>
                </c:pt>
                <c:pt idx="2">
                  <c:v>7</c:v>
                </c:pt>
              </c:numCache>
            </c:numRef>
          </c:xVal>
          <c:yVal>
            <c:numRef>
              <c:f>'P7.2'!$C$2:$C$4</c:f>
              <c:numCache>
                <c:formatCode>0.00E+00</c:formatCode>
                <c:ptCount val="3"/>
                <c:pt idx="0">
                  <c:v>14184.397163120566</c:v>
                </c:pt>
                <c:pt idx="1">
                  <c:v>12499.999999999998</c:v>
                </c:pt>
                <c:pt idx="2">
                  <c:v>9198.4231274638641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FD-4C6A-A359-9C5C1029AD04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olid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'P7.2'!$A$5:$A$7</c:f>
              <c:numCache>
                <c:formatCode>General</c:formatCode>
                <c:ptCount val="3"/>
                <c:pt idx="0">
                  <c:v>14</c:v>
                </c:pt>
                <c:pt idx="1">
                  <c:v>20</c:v>
                </c:pt>
                <c:pt idx="2">
                  <c:v>28</c:v>
                </c:pt>
              </c:numCache>
            </c:numRef>
          </c:xVal>
          <c:yVal>
            <c:numRef>
              <c:f>'P7.2'!$C$5:$C$7</c:f>
              <c:numCache>
                <c:formatCode>0.00E+00</c:formatCode>
                <c:ptCount val="3"/>
                <c:pt idx="0">
                  <c:v>7407.4074074074078</c:v>
                </c:pt>
                <c:pt idx="1">
                  <c:v>6596.3060686015833</c:v>
                </c:pt>
                <c:pt idx="2">
                  <c:v>5404.3620922601813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BFD-4C6A-A359-9C5C1029A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1110095"/>
        <c:axId val="991106767"/>
      </c:scatterChart>
      <c:valAx>
        <c:axId val="991110095"/>
        <c:scaling>
          <c:orientation val="minMax"/>
          <c:max val="3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1106767"/>
        <c:crosses val="autoZero"/>
        <c:crossBetween val="midCat"/>
      </c:valAx>
      <c:valAx>
        <c:axId val="991106767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1110095"/>
        <c:crosses val="autoZero"/>
        <c:crossBetween val="midCat"/>
        <c:majorUnit val="1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304893</xdr:colOff>
      <xdr:row>13</xdr:row>
      <xdr:rowOff>137735</xdr:rowOff>
    </xdr:from>
    <xdr:to>
      <xdr:col>18</xdr:col>
      <xdr:colOff>285843</xdr:colOff>
      <xdr:row>28</xdr:row>
      <xdr:rowOff>25321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7B08E1B-37B7-4133-B02C-FFEFECDC79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279147</xdr:colOff>
      <xdr:row>31</xdr:row>
      <xdr:rowOff>151454</xdr:rowOff>
    </xdr:from>
    <xdr:to>
      <xdr:col>18</xdr:col>
      <xdr:colOff>499827</xdr:colOff>
      <xdr:row>47</xdr:row>
      <xdr:rowOff>84875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CBB0E6C-AFED-4BCF-B346-38E228A845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314325</xdr:colOff>
      <xdr:row>13</xdr:row>
      <xdr:rowOff>100012</xdr:rowOff>
    </xdr:from>
    <xdr:to>
      <xdr:col>18</xdr:col>
      <xdr:colOff>295275</xdr:colOff>
      <xdr:row>27</xdr:row>
      <xdr:rowOff>176212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BCB95A7-BD8B-47BA-9B73-9AAE055560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528691</xdr:colOff>
      <xdr:row>33</xdr:row>
      <xdr:rowOff>94608</xdr:rowOff>
    </xdr:from>
    <xdr:to>
      <xdr:col>19</xdr:col>
      <xdr:colOff>466618</xdr:colOff>
      <xdr:row>46</xdr:row>
      <xdr:rowOff>183651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6A28FB9-371E-43F0-84FF-50227613BC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666750</xdr:colOff>
      <xdr:row>2</xdr:row>
      <xdr:rowOff>9525</xdr:rowOff>
    </xdr:from>
    <xdr:to>
      <xdr:col>15</xdr:col>
      <xdr:colOff>542925</xdr:colOff>
      <xdr:row>22</xdr:row>
      <xdr:rowOff>138112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D9F66FD-915C-404C-8721-DD111CAAC9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A2C3A-7B94-462B-8B3A-57EECAF727F0}">
  <dimension ref="A1:M31"/>
  <sheetViews>
    <sheetView tabSelected="1" zoomScale="102" workbookViewId="0">
      <selection activeCell="F14" sqref="F14"/>
    </sheetView>
  </sheetViews>
  <sheetFormatPr defaultRowHeight="15"/>
  <cols>
    <col min="1" max="1" width="18" bestFit="1" customWidth="1"/>
    <col min="2" max="2" width="12" bestFit="1" customWidth="1"/>
    <col min="3" max="3" width="18" bestFit="1" customWidth="1"/>
    <col min="4" max="4" width="12.140625" bestFit="1" customWidth="1"/>
    <col min="5" max="5" width="9.28515625" bestFit="1" customWidth="1"/>
    <col min="6" max="6" width="13.5703125" bestFit="1" customWidth="1"/>
    <col min="7" max="7" width="12" bestFit="1" customWidth="1"/>
    <col min="8" max="8" width="13.5703125" bestFit="1" customWidth="1"/>
    <col min="9" max="9" width="17.7109375" bestFit="1" customWidth="1"/>
    <col min="10" max="10" width="12.85546875" bestFit="1" customWidth="1"/>
    <col min="11" max="11" width="13.7109375" bestFit="1" customWidth="1"/>
    <col min="12" max="13" width="13.5703125" bestFit="1" customWidth="1"/>
  </cols>
  <sheetData>
    <row r="1" spans="1:13">
      <c r="A1" s="3" t="s">
        <v>0</v>
      </c>
      <c r="B1" s="3" t="s">
        <v>2</v>
      </c>
      <c r="C1" s="3" t="s">
        <v>1</v>
      </c>
      <c r="D1" s="3" t="s">
        <v>3</v>
      </c>
      <c r="E1" s="3" t="s">
        <v>5</v>
      </c>
      <c r="F1" s="3" t="s">
        <v>6</v>
      </c>
      <c r="G1" s="3" t="s">
        <v>10</v>
      </c>
      <c r="H1" s="3" t="s">
        <v>11</v>
      </c>
      <c r="I1" s="3" t="s">
        <v>12</v>
      </c>
      <c r="J1" s="3" t="s">
        <v>14</v>
      </c>
      <c r="K1" s="1"/>
      <c r="L1" s="1"/>
      <c r="M1" s="1"/>
    </row>
    <row r="2" spans="1:13">
      <c r="A2" s="2">
        <v>0.56499999999999995</v>
      </c>
      <c r="B2" s="2">
        <v>0.17499999999999999</v>
      </c>
      <c r="C2" s="2">
        <v>0.69499999999999995</v>
      </c>
      <c r="D2" s="2">
        <v>0.245</v>
      </c>
      <c r="E2" s="2">
        <v>500000</v>
      </c>
      <c r="F2" s="2">
        <v>10000</v>
      </c>
      <c r="G2" s="2">
        <v>70</v>
      </c>
      <c r="H2" s="2">
        <v>10</v>
      </c>
      <c r="I2" s="2">
        <v>5</v>
      </c>
      <c r="J2" s="2">
        <v>8.9250000000000006E-3</v>
      </c>
      <c r="K2" s="1"/>
      <c r="L2" s="1"/>
      <c r="M2" s="1"/>
    </row>
    <row r="3" spans="1:13">
      <c r="A3" s="1"/>
      <c r="B3" s="1"/>
      <c r="C3" s="1"/>
      <c r="D3" s="1"/>
      <c r="E3" s="4" t="s">
        <v>18</v>
      </c>
      <c r="F3" s="4" t="s">
        <v>18</v>
      </c>
      <c r="G3" s="4" t="s">
        <v>18</v>
      </c>
      <c r="H3" s="4" t="s">
        <v>17</v>
      </c>
      <c r="I3" s="4" t="s">
        <v>17</v>
      </c>
      <c r="J3" s="4" t="s">
        <v>17</v>
      </c>
      <c r="K3" s="1"/>
      <c r="L3" s="1"/>
      <c r="M3" s="1"/>
    </row>
    <row r="4" spans="1:13" ht="15.75" thickBot="1">
      <c r="A4" s="1"/>
      <c r="B4" s="12" t="s">
        <v>48</v>
      </c>
      <c r="C4" s="12" t="s">
        <v>48</v>
      </c>
      <c r="D4" s="1"/>
      <c r="E4" s="87" t="s">
        <v>9</v>
      </c>
      <c r="F4" s="87"/>
      <c r="G4" s="87"/>
      <c r="H4" s="1"/>
      <c r="I4" s="1"/>
      <c r="J4" s="1"/>
      <c r="K4" s="1"/>
      <c r="L4" s="1"/>
      <c r="M4" s="1"/>
    </row>
    <row r="5" spans="1:13" ht="15.75" thickBot="1">
      <c r="A5" s="20" t="s">
        <v>4</v>
      </c>
      <c r="B5" s="21" t="s">
        <v>54</v>
      </c>
      <c r="C5" s="21" t="s">
        <v>55</v>
      </c>
      <c r="D5" s="21" t="s">
        <v>7</v>
      </c>
      <c r="E5" s="21" t="s">
        <v>8</v>
      </c>
      <c r="F5" s="86" t="s">
        <v>13</v>
      </c>
      <c r="G5" s="86"/>
      <c r="H5" s="21" t="s">
        <v>44</v>
      </c>
      <c r="I5" s="21" t="s">
        <v>15</v>
      </c>
      <c r="J5" s="21" t="s">
        <v>16</v>
      </c>
      <c r="K5" s="22" t="s">
        <v>47</v>
      </c>
    </row>
    <row r="6" spans="1:13">
      <c r="A6" s="16">
        <v>1</v>
      </c>
      <c r="B6" s="17">
        <f>($E$2*A6^$A$2)/(A6^$A$2-$B$2)</f>
        <v>606060.60606060608</v>
      </c>
      <c r="C6" s="17">
        <f>($F$2*A6^$C$2)/(A6^$C$2-$D$2)</f>
        <v>13245.033112582782</v>
      </c>
      <c r="D6" s="18">
        <f>B6/C6</f>
        <v>45.757575757575758</v>
      </c>
      <c r="E6" s="16">
        <v>0.17849999999999999</v>
      </c>
      <c r="F6" s="88">
        <f>1.5*$G$2*$I$2*E6/C6</f>
        <v>7.0752937499999995E-3</v>
      </c>
      <c r="G6" s="88"/>
      <c r="H6" s="18">
        <f>1-F6/$J$2</f>
        <v>0.20725000000000016</v>
      </c>
      <c r="I6" s="18">
        <f>LOG10(H6)</f>
        <v>-0.68350546077768848</v>
      </c>
      <c r="J6" s="16">
        <f t="shared" ref="J6:J11" si="0">LOG10(A6)</f>
        <v>0</v>
      </c>
      <c r="K6" s="19">
        <f>($G$18*$J$2*A6^(1-$H$18))/(1-$H$18)</f>
        <v>5.797498677326437E-3</v>
      </c>
    </row>
    <row r="7" spans="1:13">
      <c r="A7" s="2">
        <v>10</v>
      </c>
      <c r="B7" s="13">
        <f>($E$2*A7^$A$2)/(A7^$A$2-$B$2)</f>
        <v>525015.55964249803</v>
      </c>
      <c r="C7" s="13">
        <f t="shared" ref="C7:C11" si="1">($F$2*A7^$C$2)/(A7^$C$2-$D$2)</f>
        <v>10520.22486620364</v>
      </c>
      <c r="D7" s="14">
        <f t="shared" ref="D7:D10" si="2">B7/C7</f>
        <v>49.905355286569716</v>
      </c>
      <c r="E7" s="2">
        <v>0.17019999999999999</v>
      </c>
      <c r="F7" s="85">
        <f t="shared" ref="F7:F11" si="3">1.5*$G$2*$I$2*E7/C7</f>
        <v>8.493639740254421E-3</v>
      </c>
      <c r="G7" s="85"/>
      <c r="H7" s="14">
        <f t="shared" ref="H7:H11" si="4">1-F7/$J$2</f>
        <v>4.8331681764210654E-2</v>
      </c>
      <c r="I7" s="14">
        <f>LOG10(H7)</f>
        <v>-1.3157680927525095</v>
      </c>
      <c r="J7" s="2">
        <f t="shared" si="0"/>
        <v>1</v>
      </c>
      <c r="K7" s="15">
        <f t="shared" ref="K6:K11" si="5">($G$18*$J$2*A7^(1-$H$18))/(1-$H$18)</f>
        <v>1.2689971836024905E-2</v>
      </c>
    </row>
    <row r="8" spans="1:13">
      <c r="A8" s="2">
        <v>100</v>
      </c>
      <c r="B8" s="13">
        <f t="shared" ref="B8:B11" si="6">($E$2*A8^$A$2)/(A8^$A$2-$B$2)</f>
        <v>506571.71905758901</v>
      </c>
      <c r="C8" s="13">
        <f t="shared" si="1"/>
        <v>10100.814377899251</v>
      </c>
      <c r="D8" s="14">
        <f t="shared" si="2"/>
        <v>50.151571953047302</v>
      </c>
      <c r="E8" s="2">
        <v>0.16991000000000001</v>
      </c>
      <c r="F8" s="85">
        <f t="shared" si="3"/>
        <v>8.8312433693640679E-3</v>
      </c>
      <c r="G8" s="85"/>
      <c r="H8" s="14">
        <f t="shared" si="4"/>
        <v>1.0504944609068145E-2</v>
      </c>
      <c r="I8" s="14">
        <f t="shared" ref="I8:I11" si="7">LOG10(H8)</f>
        <v>-1.9786062332189496</v>
      </c>
      <c r="J8" s="2">
        <f t="shared" si="0"/>
        <v>2</v>
      </c>
      <c r="K8" s="15">
        <f t="shared" si="5"/>
        <v>2.7776700636241988E-2</v>
      </c>
    </row>
    <row r="9" spans="1:13">
      <c r="A9" s="2">
        <v>1000</v>
      </c>
      <c r="B9" s="13">
        <f>($E$2*A9^$A$2)/(A9^$A$2-$B$2)</f>
        <v>501772.33069036016</v>
      </c>
      <c r="C9" s="13">
        <f t="shared" si="1"/>
        <v>10020.185608721296</v>
      </c>
      <c r="D9" s="14">
        <f t="shared" si="2"/>
        <v>50.076151309376066</v>
      </c>
      <c r="E9" s="2">
        <v>0.16996</v>
      </c>
      <c r="F9" s="85">
        <f t="shared" si="3"/>
        <v>8.9049248670940301E-3</v>
      </c>
      <c r="G9" s="85"/>
      <c r="H9" s="14">
        <f t="shared" si="4"/>
        <v>2.24931461131328E-3</v>
      </c>
      <c r="I9" s="14">
        <f t="shared" si="7"/>
        <v>-2.6479497956086675</v>
      </c>
      <c r="J9" s="2">
        <f t="shared" si="0"/>
        <v>3</v>
      </c>
      <c r="K9" s="15">
        <f t="shared" si="5"/>
        <v>6.0799591063323402E-2</v>
      </c>
    </row>
    <row r="10" spans="1:13">
      <c r="A10" s="2">
        <v>10000</v>
      </c>
      <c r="B10" s="13">
        <f t="shared" si="6"/>
        <v>500481.31113987818</v>
      </c>
      <c r="C10" s="13">
        <f t="shared" si="1"/>
        <v>10004.067641821475</v>
      </c>
      <c r="D10" s="14">
        <f t="shared" si="2"/>
        <v>50.027781604318882</v>
      </c>
      <c r="E10" s="2">
        <v>0.16994000000000001</v>
      </c>
      <c r="F10" s="85">
        <f t="shared" si="3"/>
        <v>8.9182223865647194E-3</v>
      </c>
      <c r="G10" s="85"/>
      <c r="H10" s="14">
        <f t="shared" si="4"/>
        <v>7.5939646333678112E-4</v>
      </c>
      <c r="I10" s="14">
        <f t="shared" si="7"/>
        <v>-3.1195314297889225</v>
      </c>
      <c r="J10" s="2">
        <f t="shared" si="0"/>
        <v>4</v>
      </c>
      <c r="K10" s="15">
        <f t="shared" si="5"/>
        <v>0.13308241039413399</v>
      </c>
    </row>
    <row r="11" spans="1:13">
      <c r="A11" s="2">
        <v>100000</v>
      </c>
      <c r="B11" s="13">
        <f t="shared" si="6"/>
        <v>500130.95490930398</v>
      </c>
      <c r="C11" s="13">
        <f t="shared" si="1"/>
        <v>10000.820732680622</v>
      </c>
      <c r="D11" s="14">
        <f>B11/C11</f>
        <v>50.008991089599178</v>
      </c>
      <c r="E11" s="2">
        <v>0.17</v>
      </c>
      <c r="F11" s="85">
        <f t="shared" si="3"/>
        <v>8.9242675561966005E-3</v>
      </c>
      <c r="G11" s="85"/>
      <c r="H11" s="14">
        <f t="shared" si="4"/>
        <v>8.206653259379415E-5</v>
      </c>
      <c r="I11" s="14">
        <f t="shared" si="7"/>
        <v>-4.0858339156347991</v>
      </c>
      <c r="J11" s="2">
        <f t="shared" si="0"/>
        <v>5</v>
      </c>
      <c r="K11" s="15">
        <f t="shared" si="5"/>
        <v>0.29130011644102299</v>
      </c>
    </row>
    <row r="12" spans="1:13">
      <c r="B12" s="9"/>
      <c r="C12" s="9"/>
      <c r="D12" s="9"/>
      <c r="H12" s="9"/>
      <c r="I12" s="89" t="s">
        <v>53</v>
      </c>
      <c r="J12" s="89"/>
      <c r="K12" s="9"/>
      <c r="L12" s="9"/>
      <c r="M12" s="9"/>
    </row>
    <row r="13" spans="1:13">
      <c r="A13" s="10"/>
      <c r="B13" s="9"/>
      <c r="C13" s="9"/>
      <c r="D13" s="9"/>
      <c r="E13" s="10"/>
      <c r="F13" s="10"/>
      <c r="G13" s="10"/>
      <c r="H13" s="10"/>
      <c r="I13" s="10"/>
    </row>
    <row r="14" spans="1:13">
      <c r="A14" s="10"/>
      <c r="B14" s="9"/>
      <c r="C14" t="s">
        <v>19</v>
      </c>
    </row>
    <row r="15" spans="1:13" ht="15.75" thickBot="1">
      <c r="A15" s="11"/>
      <c r="B15" s="9"/>
    </row>
    <row r="16" spans="1:13" ht="15.75" thickBot="1">
      <c r="A16" s="90" t="s">
        <v>56</v>
      </c>
      <c r="B16" s="92"/>
      <c r="C16" s="8" t="s">
        <v>20</v>
      </c>
      <c r="D16" s="8"/>
    </row>
    <row r="17" spans="1:13" ht="15.75" thickBot="1">
      <c r="A17" s="93"/>
      <c r="B17" s="95"/>
      <c r="C17" s="5" t="s">
        <v>21</v>
      </c>
      <c r="D17" s="5">
        <v>0.99680585764469243</v>
      </c>
      <c r="G17" s="25" t="s">
        <v>45</v>
      </c>
      <c r="H17" s="26" t="s">
        <v>46</v>
      </c>
      <c r="J17" s="99" t="s">
        <v>49</v>
      </c>
      <c r="K17" s="100"/>
      <c r="L17" s="100"/>
      <c r="M17" s="101"/>
    </row>
    <row r="18" spans="1:13" ht="15.75" thickBot="1">
      <c r="A18" s="93"/>
      <c r="B18" s="95"/>
      <c r="C18" s="5" t="s">
        <v>22</v>
      </c>
      <c r="D18" s="5">
        <v>0.99362191783477072</v>
      </c>
      <c r="G18" s="23">
        <v>0.221</v>
      </c>
      <c r="H18" s="24">
        <v>0.65978000000000003</v>
      </c>
      <c r="J18" s="30"/>
      <c r="K18" s="31"/>
      <c r="L18" s="31"/>
      <c r="M18" s="32"/>
    </row>
    <row r="19" spans="1:13">
      <c r="A19" s="93"/>
      <c r="B19" s="95"/>
      <c r="C19" s="5" t="s">
        <v>23</v>
      </c>
      <c r="D19" s="5">
        <v>0.99202739729346345</v>
      </c>
      <c r="J19" s="102" t="s">
        <v>50</v>
      </c>
      <c r="K19" s="103"/>
      <c r="L19" s="103"/>
      <c r="M19" s="104"/>
    </row>
    <row r="20" spans="1:13" ht="15.75" thickBot="1">
      <c r="A20" s="93"/>
      <c r="B20" s="95"/>
      <c r="C20" s="5" t="s">
        <v>24</v>
      </c>
      <c r="D20" s="5">
        <v>0.11056615180514452</v>
      </c>
      <c r="J20" s="105" t="s">
        <v>51</v>
      </c>
      <c r="K20" s="106"/>
      <c r="L20" s="106"/>
      <c r="M20" s="107"/>
    </row>
    <row r="21" spans="1:13" ht="15.75" customHeight="1" thickBot="1">
      <c r="A21" s="93"/>
      <c r="B21" s="95"/>
      <c r="C21" s="6" t="s">
        <v>25</v>
      </c>
      <c r="D21" s="6">
        <v>6</v>
      </c>
    </row>
    <row r="22" spans="1:13">
      <c r="A22" s="93"/>
      <c r="B22" s="95"/>
    </row>
    <row r="23" spans="1:13" ht="15.75" thickBot="1">
      <c r="A23" s="93"/>
      <c r="B23" s="95"/>
      <c r="C23" t="s">
        <v>26</v>
      </c>
    </row>
    <row r="24" spans="1:13">
      <c r="A24" s="93"/>
      <c r="B24" s="95"/>
      <c r="C24" s="7"/>
      <c r="D24" s="7" t="s">
        <v>31</v>
      </c>
      <c r="E24" s="7" t="s">
        <v>32</v>
      </c>
      <c r="F24" s="7" t="s">
        <v>33</v>
      </c>
      <c r="G24" s="7" t="s">
        <v>34</v>
      </c>
      <c r="H24" s="7" t="s">
        <v>35</v>
      </c>
      <c r="J24" s="90" t="s">
        <v>52</v>
      </c>
      <c r="K24" s="91"/>
      <c r="L24" s="91"/>
      <c r="M24" s="92"/>
    </row>
    <row r="25" spans="1:13">
      <c r="A25" s="93"/>
      <c r="B25" s="95"/>
      <c r="C25" s="5" t="s">
        <v>27</v>
      </c>
      <c r="D25" s="5">
        <v>1</v>
      </c>
      <c r="E25" s="5">
        <v>7.6179029118595976</v>
      </c>
      <c r="F25" s="5">
        <v>7.6179029118595976</v>
      </c>
      <c r="G25" s="5">
        <v>623.14776893379542</v>
      </c>
      <c r="H25" s="5">
        <v>1.528752388778077E-5</v>
      </c>
      <c r="J25" s="93"/>
      <c r="K25" s="94"/>
      <c r="L25" s="94"/>
      <c r="M25" s="95"/>
    </row>
    <row r="26" spans="1:13" ht="15.75" thickBot="1">
      <c r="A26" s="93"/>
      <c r="B26" s="95"/>
      <c r="C26" s="5" t="s">
        <v>28</v>
      </c>
      <c r="D26" s="5">
        <v>4</v>
      </c>
      <c r="E26" s="5">
        <v>4.8899495699993051E-2</v>
      </c>
      <c r="F26" s="5">
        <v>1.2224873924998263E-2</v>
      </c>
      <c r="G26" s="5"/>
      <c r="H26" s="5"/>
      <c r="J26" s="96"/>
      <c r="K26" s="97"/>
      <c r="L26" s="97"/>
      <c r="M26" s="98"/>
    </row>
    <row r="27" spans="1:13" ht="15.75" thickBot="1">
      <c r="A27" s="93"/>
      <c r="B27" s="95"/>
      <c r="C27" s="6" t="s">
        <v>29</v>
      </c>
      <c r="D27" s="6">
        <v>5</v>
      </c>
      <c r="E27" s="6">
        <v>7.6668024075595902</v>
      </c>
      <c r="F27" s="6"/>
      <c r="G27" s="6"/>
      <c r="H27" s="6"/>
      <c r="J27" s="33"/>
      <c r="K27" s="33"/>
      <c r="L27" s="33"/>
      <c r="M27" s="33"/>
    </row>
    <row r="28" spans="1:13" ht="15.75" thickBot="1">
      <c r="A28" s="93"/>
      <c r="B28" s="95"/>
    </row>
    <row r="29" spans="1:13">
      <c r="A29" s="93"/>
      <c r="B29" s="95"/>
      <c r="C29" s="7"/>
      <c r="D29" s="7" t="s">
        <v>36</v>
      </c>
      <c r="E29" s="7" t="s">
        <v>24</v>
      </c>
      <c r="F29" s="7" t="s">
        <v>37</v>
      </c>
      <c r="G29" s="7" t="s">
        <v>38</v>
      </c>
      <c r="H29" s="7" t="s">
        <v>39</v>
      </c>
      <c r="I29" s="7" t="s">
        <v>40</v>
      </c>
      <c r="J29" s="7" t="s">
        <v>41</v>
      </c>
      <c r="K29" s="7" t="s">
        <v>42</v>
      </c>
    </row>
    <row r="30" spans="1:13">
      <c r="A30" s="93"/>
      <c r="B30" s="95"/>
      <c r="C30" s="5" t="s">
        <v>30</v>
      </c>
      <c r="D30" s="28">
        <v>-0.65575087978850566</v>
      </c>
      <c r="E30" s="5">
        <v>8.0021905683911349E-2</v>
      </c>
      <c r="F30" s="5">
        <v>-8.1946421318524827</v>
      </c>
      <c r="G30" s="5">
        <v>1.2080933696202148E-3</v>
      </c>
      <c r="H30" s="5">
        <v>-0.87792730813320086</v>
      </c>
      <c r="I30" s="5">
        <v>-0.43357445144381052</v>
      </c>
      <c r="J30" s="5">
        <v>-0.87792730813320086</v>
      </c>
      <c r="K30" s="5">
        <v>-0.43357445144381052</v>
      </c>
    </row>
    <row r="31" spans="1:13" ht="15.75" thickBot="1">
      <c r="A31" s="96"/>
      <c r="B31" s="98"/>
      <c r="C31" s="6" t="s">
        <v>43</v>
      </c>
      <c r="D31" s="29">
        <v>-0.6597793099367002</v>
      </c>
      <c r="E31" s="6">
        <v>2.6430365572303667E-2</v>
      </c>
      <c r="F31" s="6">
        <v>-24.962927891851855</v>
      </c>
      <c r="G31" s="6">
        <v>1.528752388778077E-5</v>
      </c>
      <c r="H31" s="6">
        <v>-0.73316176905851105</v>
      </c>
      <c r="I31" s="6">
        <v>-0.58639685081488935</v>
      </c>
      <c r="J31" s="6">
        <v>-0.73316176905851105</v>
      </c>
      <c r="K31" s="6">
        <v>-0.58639685081488935</v>
      </c>
    </row>
  </sheetData>
  <mergeCells count="14">
    <mergeCell ref="I12:J12"/>
    <mergeCell ref="J24:M26"/>
    <mergeCell ref="A16:B31"/>
    <mergeCell ref="J17:M17"/>
    <mergeCell ref="J19:M19"/>
    <mergeCell ref="J20:M20"/>
    <mergeCell ref="F9:G9"/>
    <mergeCell ref="F10:G10"/>
    <mergeCell ref="F11:G11"/>
    <mergeCell ref="F5:G5"/>
    <mergeCell ref="E4:G4"/>
    <mergeCell ref="F6:G6"/>
    <mergeCell ref="F7:G7"/>
    <mergeCell ref="F8:G8"/>
  </mergeCells>
  <phoneticPr fontId="2" type="noConversion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CFC38-94C1-44FC-A7A6-61EAA153DA6B}">
  <dimension ref="A1:S69"/>
  <sheetViews>
    <sheetView topLeftCell="A74" zoomScale="87" workbookViewId="0">
      <selection activeCell="I74" sqref="I74"/>
    </sheetView>
  </sheetViews>
  <sheetFormatPr defaultRowHeight="15"/>
  <cols>
    <col min="6" max="6" width="13.140625" bestFit="1" customWidth="1"/>
    <col min="8" max="8" width="14.5703125" bestFit="1" customWidth="1"/>
    <col min="9" max="10" width="8.85546875" bestFit="1" customWidth="1"/>
    <col min="15" max="15" width="14.5703125" bestFit="1" customWidth="1"/>
    <col min="16" max="17" width="8.85546875" bestFit="1" customWidth="1"/>
  </cols>
  <sheetData>
    <row r="1" spans="1:19">
      <c r="A1" s="113" t="s">
        <v>57</v>
      </c>
      <c r="B1" s="113"/>
      <c r="C1" s="113"/>
      <c r="D1" s="113"/>
      <c r="E1" s="113"/>
      <c r="F1" s="9"/>
      <c r="H1" s="9" t="s">
        <v>65</v>
      </c>
      <c r="I1" s="9" t="s">
        <v>67</v>
      </c>
      <c r="J1" s="9" t="s">
        <v>68</v>
      </c>
      <c r="K1" s="36" t="s">
        <v>66</v>
      </c>
      <c r="M1" s="41" t="s">
        <v>69</v>
      </c>
      <c r="O1" s="9" t="s">
        <v>65</v>
      </c>
      <c r="P1" s="9" t="s">
        <v>77</v>
      </c>
      <c r="Q1" s="9" t="s">
        <v>78</v>
      </c>
      <c r="R1" s="36" t="s">
        <v>66</v>
      </c>
      <c r="S1" s="9" t="s">
        <v>80</v>
      </c>
    </row>
    <row r="2" spans="1:19">
      <c r="A2" s="35" t="s">
        <v>58</v>
      </c>
      <c r="B2" s="35" t="s">
        <v>59</v>
      </c>
      <c r="C2" s="35" t="s">
        <v>60</v>
      </c>
      <c r="D2" s="35" t="s">
        <v>61</v>
      </c>
      <c r="E2" s="35" t="s">
        <v>62</v>
      </c>
      <c r="F2" s="9" t="s">
        <v>63</v>
      </c>
      <c r="H2" s="9">
        <v>1</v>
      </c>
      <c r="I2" s="9">
        <v>4</v>
      </c>
      <c r="J2" s="9">
        <v>4.5</v>
      </c>
      <c r="K2" s="9">
        <f>(I2+J2)/2</f>
        <v>4.25</v>
      </c>
      <c r="M2" s="41">
        <f>MMULT(A3:E3,K2:K6)</f>
        <v>4.25</v>
      </c>
      <c r="O2" s="9">
        <v>1</v>
      </c>
      <c r="P2" s="9">
        <v>80</v>
      </c>
      <c r="Q2" s="9">
        <v>100</v>
      </c>
      <c r="R2" s="9">
        <f>(P2+Q2)/2</f>
        <v>90</v>
      </c>
      <c r="S2" s="9">
        <f>MMULT(A3:E3,R2:R6)</f>
        <v>90</v>
      </c>
    </row>
    <row r="3" spans="1:19">
      <c r="A3" s="9">
        <v>1</v>
      </c>
      <c r="B3" s="9">
        <v>0</v>
      </c>
      <c r="C3" s="9">
        <v>0</v>
      </c>
      <c r="D3" s="9">
        <v>0</v>
      </c>
      <c r="E3" s="9">
        <v>0</v>
      </c>
      <c r="F3" s="9">
        <f>SUM(A3:E3)</f>
        <v>1</v>
      </c>
      <c r="H3" s="9">
        <v>2</v>
      </c>
      <c r="I3" s="9">
        <v>3.5</v>
      </c>
      <c r="J3" s="9">
        <v>4</v>
      </c>
      <c r="K3" s="9">
        <f t="shared" ref="K3:K6" si="0">(I3+J3)/2</f>
        <v>3.75</v>
      </c>
      <c r="M3" s="9"/>
      <c r="O3" s="9">
        <v>2</v>
      </c>
      <c r="P3" s="9">
        <v>60</v>
      </c>
      <c r="Q3" s="9">
        <v>80</v>
      </c>
      <c r="R3" s="9">
        <f t="shared" ref="R3:R6" si="1">(P3+Q3)/2</f>
        <v>70</v>
      </c>
    </row>
    <row r="4" spans="1:19">
      <c r="A4" s="113" t="s">
        <v>64</v>
      </c>
      <c r="B4" s="113"/>
      <c r="C4" s="113"/>
      <c r="D4" s="113"/>
      <c r="E4" s="113"/>
      <c r="F4" s="9"/>
      <c r="H4" s="9">
        <v>3</v>
      </c>
      <c r="I4" s="9">
        <v>3</v>
      </c>
      <c r="J4" s="9">
        <v>3.5</v>
      </c>
      <c r="K4" s="9">
        <f t="shared" si="0"/>
        <v>3.25</v>
      </c>
      <c r="O4" s="9">
        <v>3</v>
      </c>
      <c r="P4" s="9">
        <v>40</v>
      </c>
      <c r="Q4" s="9">
        <v>60</v>
      </c>
      <c r="R4" s="9">
        <f t="shared" si="1"/>
        <v>50</v>
      </c>
    </row>
    <row r="5" spans="1:19">
      <c r="H5" s="9">
        <v>4</v>
      </c>
      <c r="I5" s="9">
        <v>2.5</v>
      </c>
      <c r="J5" s="9">
        <v>3</v>
      </c>
      <c r="K5" s="9">
        <f t="shared" si="0"/>
        <v>2.75</v>
      </c>
      <c r="O5" s="9">
        <v>4</v>
      </c>
      <c r="P5" s="9">
        <v>20</v>
      </c>
      <c r="Q5" s="9">
        <v>40</v>
      </c>
      <c r="R5" s="9">
        <f t="shared" si="1"/>
        <v>30</v>
      </c>
    </row>
    <row r="6" spans="1:19">
      <c r="H6" s="9">
        <v>5</v>
      </c>
      <c r="I6" s="9">
        <v>2</v>
      </c>
      <c r="J6" s="9">
        <v>2.5</v>
      </c>
      <c r="K6" s="9">
        <f t="shared" si="0"/>
        <v>2.25</v>
      </c>
      <c r="O6" s="9">
        <v>5</v>
      </c>
      <c r="P6" s="9">
        <v>0</v>
      </c>
      <c r="Q6" s="9">
        <v>20</v>
      </c>
      <c r="R6" s="9">
        <f t="shared" si="1"/>
        <v>10</v>
      </c>
    </row>
    <row r="7" spans="1:19">
      <c r="A7" s="37" t="s">
        <v>71</v>
      </c>
      <c r="B7">
        <v>5</v>
      </c>
      <c r="D7" s="38" t="s">
        <v>72</v>
      </c>
      <c r="E7">
        <f>(I13-I14)/(B7-2)</f>
        <v>0.13333333333333333</v>
      </c>
    </row>
    <row r="9" spans="1:19" ht="15.75">
      <c r="A9" s="108" t="s">
        <v>70</v>
      </c>
      <c r="B9" s="108"/>
      <c r="C9" s="108"/>
      <c r="D9" s="108"/>
      <c r="E9" s="108"/>
      <c r="F9" s="46" t="s">
        <v>76</v>
      </c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</row>
    <row r="10" spans="1:19" ht="15.75">
      <c r="A10" s="47">
        <f>F10-B10</f>
        <v>0.4</v>
      </c>
      <c r="B10" s="48">
        <f>I13</f>
        <v>0.6</v>
      </c>
      <c r="C10" s="47">
        <v>0</v>
      </c>
      <c r="D10" s="47">
        <v>0</v>
      </c>
      <c r="E10" s="47">
        <v>0</v>
      </c>
      <c r="F10" s="47">
        <v>1</v>
      </c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</row>
    <row r="11" spans="1:19" ht="15.75">
      <c r="A11" s="47">
        <v>0</v>
      </c>
      <c r="B11" s="49">
        <f>A10+E7</f>
        <v>0.53333333333333333</v>
      </c>
      <c r="C11" s="49">
        <f>B10-E7</f>
        <v>0.46666666666666667</v>
      </c>
      <c r="D11" s="47">
        <v>0</v>
      </c>
      <c r="E11" s="47">
        <v>0</v>
      </c>
      <c r="F11" s="47">
        <v>1</v>
      </c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</row>
    <row r="12" spans="1:19" ht="15.75">
      <c r="A12" s="47">
        <v>0</v>
      </c>
      <c r="B12" s="47">
        <v>0</v>
      </c>
      <c r="C12" s="49">
        <f>B11+E7</f>
        <v>0.66666666666666663</v>
      </c>
      <c r="D12" s="49">
        <f>C11-E7</f>
        <v>0.33333333333333337</v>
      </c>
      <c r="E12" s="47">
        <v>0</v>
      </c>
      <c r="F12" s="47">
        <v>1</v>
      </c>
      <c r="G12" s="46"/>
      <c r="H12" s="114" t="s">
        <v>74</v>
      </c>
      <c r="I12" s="114"/>
      <c r="J12" s="46"/>
      <c r="K12" s="46"/>
      <c r="L12" s="46"/>
      <c r="M12" s="46"/>
      <c r="N12" s="46"/>
      <c r="O12" s="46"/>
      <c r="P12" s="46"/>
      <c r="Q12" s="46"/>
    </row>
    <row r="13" spans="1:19" ht="15.75">
      <c r="A13" s="47">
        <v>0</v>
      </c>
      <c r="B13" s="47">
        <v>0</v>
      </c>
      <c r="C13" s="47">
        <v>0</v>
      </c>
      <c r="D13" s="47">
        <f>F13-E13</f>
        <v>0.8</v>
      </c>
      <c r="E13" s="48">
        <v>0.2</v>
      </c>
      <c r="F13" s="47">
        <v>1</v>
      </c>
      <c r="G13" s="46"/>
      <c r="H13" s="47" t="s">
        <v>73</v>
      </c>
      <c r="I13" s="48">
        <v>0.6</v>
      </c>
      <c r="J13" s="46"/>
      <c r="K13" s="46"/>
      <c r="L13" s="46"/>
      <c r="M13" s="46"/>
      <c r="N13" s="46"/>
      <c r="O13" s="46"/>
      <c r="P13" s="46"/>
      <c r="Q13" s="46"/>
    </row>
    <row r="14" spans="1:19" ht="15.75">
      <c r="A14" s="47">
        <v>0</v>
      </c>
      <c r="B14" s="47">
        <v>0</v>
      </c>
      <c r="C14" s="47">
        <v>0</v>
      </c>
      <c r="D14" s="47">
        <v>0</v>
      </c>
      <c r="E14" s="50">
        <v>1</v>
      </c>
      <c r="F14" s="47">
        <v>1</v>
      </c>
      <c r="G14" s="46"/>
      <c r="H14" s="47" t="s">
        <v>75</v>
      </c>
      <c r="I14" s="48">
        <v>0.2</v>
      </c>
      <c r="J14" s="46"/>
      <c r="K14" s="46"/>
      <c r="L14" s="46"/>
      <c r="M14" s="46"/>
      <c r="N14" s="46"/>
      <c r="O14" s="46"/>
      <c r="P14" s="46"/>
      <c r="Q14" s="46"/>
    </row>
    <row r="15" spans="1:19" ht="15.75">
      <c r="A15" s="46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</row>
    <row r="16" spans="1:19" ht="15.75">
      <c r="A16" s="46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</row>
    <row r="17" spans="1:17" ht="15.75">
      <c r="A17" s="108" t="s">
        <v>79</v>
      </c>
      <c r="B17" s="108"/>
      <c r="C17" s="108"/>
      <c r="D17" s="108"/>
      <c r="E17" s="46"/>
      <c r="F17" s="47"/>
      <c r="G17" s="46"/>
      <c r="H17" s="51" t="s">
        <v>81</v>
      </c>
      <c r="I17" s="46"/>
      <c r="J17" s="52" t="s">
        <v>90</v>
      </c>
      <c r="K17" s="52" t="s">
        <v>91</v>
      </c>
      <c r="L17" s="46"/>
      <c r="M17" s="46"/>
      <c r="N17" s="46"/>
      <c r="O17" s="46"/>
      <c r="P17" s="46"/>
      <c r="Q17" s="46"/>
    </row>
    <row r="18" spans="1:17" ht="15.75">
      <c r="A18" s="46">
        <f t="array" ref="A18:E18">MMULT(A3:E3,A10:E14)</f>
        <v>0.4</v>
      </c>
      <c r="B18" s="46">
        <v>0.6</v>
      </c>
      <c r="C18" s="46">
        <v>0</v>
      </c>
      <c r="D18" s="46">
        <v>0</v>
      </c>
      <c r="E18" s="46">
        <v>0</v>
      </c>
      <c r="F18" s="47">
        <f>SUM(A18:E18)</f>
        <v>1</v>
      </c>
      <c r="G18" s="46"/>
      <c r="H18" s="53">
        <f>MMULT(A18:E18,K2:K6)</f>
        <v>3.95</v>
      </c>
      <c r="I18" s="46"/>
      <c r="J18" s="47">
        <v>0</v>
      </c>
      <c r="K18" s="47">
        <f>M2</f>
        <v>4.25</v>
      </c>
      <c r="L18" s="46"/>
      <c r="M18" s="46"/>
      <c r="N18" s="46"/>
      <c r="O18" s="46"/>
      <c r="P18" s="46"/>
      <c r="Q18" s="46"/>
    </row>
    <row r="19" spans="1:17" ht="15.75">
      <c r="A19" s="46"/>
      <c r="B19" s="46"/>
      <c r="C19" s="46"/>
      <c r="D19" s="46"/>
      <c r="E19" s="46"/>
      <c r="F19" s="47"/>
      <c r="G19" s="46"/>
      <c r="H19" s="46"/>
      <c r="I19" s="46"/>
      <c r="J19" s="47">
        <v>1</v>
      </c>
      <c r="K19" s="54">
        <f>H18</f>
        <v>3.95</v>
      </c>
      <c r="L19" s="46"/>
      <c r="M19" s="46"/>
      <c r="N19" s="46"/>
      <c r="O19" s="46"/>
      <c r="P19" s="46"/>
      <c r="Q19" s="46"/>
    </row>
    <row r="20" spans="1:17" ht="15.75">
      <c r="A20" s="108" t="s">
        <v>82</v>
      </c>
      <c r="B20" s="108"/>
      <c r="C20" s="108"/>
      <c r="D20" s="108"/>
      <c r="E20" s="46"/>
      <c r="F20" s="47"/>
      <c r="G20" s="46"/>
      <c r="H20" s="51" t="s">
        <v>86</v>
      </c>
      <c r="I20" s="46"/>
      <c r="J20" s="47">
        <v>2</v>
      </c>
      <c r="K20" s="54">
        <f>H21</f>
        <v>3.6900000000000004</v>
      </c>
      <c r="L20" s="46"/>
      <c r="M20" s="46"/>
      <c r="N20" s="46"/>
      <c r="O20" s="46"/>
      <c r="P20" s="46"/>
      <c r="Q20" s="46"/>
    </row>
    <row r="21" spans="1:17" ht="15.75">
      <c r="A21" s="46">
        <f t="array" ref="A21:E21">MMULT(A18:E18,A10:E14)</f>
        <v>0.16000000000000003</v>
      </c>
      <c r="B21" s="46">
        <v>0.56000000000000005</v>
      </c>
      <c r="C21" s="46">
        <v>0.27999999999999997</v>
      </c>
      <c r="D21" s="46">
        <v>0</v>
      </c>
      <c r="E21" s="46">
        <v>0</v>
      </c>
      <c r="F21" s="47">
        <f>SUM(A21:E21)</f>
        <v>1</v>
      </c>
      <c r="G21" s="46"/>
      <c r="H21" s="53">
        <f>MMULT(A21:E21,K2:K6)</f>
        <v>3.6900000000000004</v>
      </c>
      <c r="I21" s="46"/>
      <c r="J21" s="47">
        <v>3</v>
      </c>
      <c r="K21" s="54">
        <f>H24</f>
        <v>3.464666666666667</v>
      </c>
      <c r="L21" s="46"/>
      <c r="M21" s="46"/>
      <c r="N21" s="46"/>
      <c r="O21" s="46"/>
      <c r="P21" s="46"/>
      <c r="Q21" s="46"/>
    </row>
    <row r="22" spans="1:17" ht="15.75">
      <c r="A22" s="46"/>
      <c r="B22" s="46"/>
      <c r="C22" s="46"/>
      <c r="D22" s="46"/>
      <c r="E22" s="46"/>
      <c r="F22" s="47"/>
      <c r="G22" s="46"/>
      <c r="H22" s="46"/>
      <c r="I22" s="46"/>
      <c r="J22" s="47">
        <v>4</v>
      </c>
      <c r="K22" s="54">
        <f>H27</f>
        <v>3.2693777777777777</v>
      </c>
      <c r="L22" s="46"/>
      <c r="M22" s="46"/>
      <c r="N22" s="46"/>
      <c r="O22" s="46"/>
      <c r="P22" s="46"/>
      <c r="Q22" s="46"/>
    </row>
    <row r="23" spans="1:17" ht="15.75">
      <c r="A23" s="108" t="s">
        <v>83</v>
      </c>
      <c r="B23" s="108"/>
      <c r="C23" s="108"/>
      <c r="D23" s="108"/>
      <c r="E23" s="46"/>
      <c r="F23" s="47"/>
      <c r="G23" s="46"/>
      <c r="H23" s="51" t="s">
        <v>87</v>
      </c>
      <c r="I23" s="46"/>
      <c r="J23" s="47">
        <v>5</v>
      </c>
      <c r="K23" s="54">
        <f>H30</f>
        <v>3.1007496296296297</v>
      </c>
      <c r="L23" s="46"/>
      <c r="M23" s="46"/>
      <c r="N23" s="46"/>
      <c r="O23" s="46"/>
      <c r="P23" s="46"/>
      <c r="Q23" s="46"/>
    </row>
    <row r="24" spans="1:17" ht="15.75">
      <c r="A24" s="46">
        <f t="array" ref="A24:E24">MMULT(A21:E21,A10:E14)</f>
        <v>6.4000000000000015E-2</v>
      </c>
      <c r="B24" s="55">
        <v>0.39466666666666672</v>
      </c>
      <c r="C24" s="46">
        <v>0.44800000000000001</v>
      </c>
      <c r="D24" s="55">
        <v>9.3333333333333338E-2</v>
      </c>
      <c r="E24" s="46">
        <v>0</v>
      </c>
      <c r="F24" s="47">
        <f>SUM(A24:E24)</f>
        <v>1</v>
      </c>
      <c r="G24" s="46"/>
      <c r="H24" s="53">
        <f>MMULT(A24:E24,K2:K6)</f>
        <v>3.464666666666667</v>
      </c>
      <c r="I24" s="46"/>
      <c r="J24" s="46"/>
      <c r="K24" s="46"/>
      <c r="L24" s="46"/>
      <c r="M24" s="46"/>
      <c r="N24" s="46"/>
      <c r="O24" s="46"/>
      <c r="P24" s="46"/>
      <c r="Q24" s="46"/>
    </row>
    <row r="25" spans="1:17" ht="15.75">
      <c r="A25" s="46"/>
      <c r="B25" s="46"/>
      <c r="C25" s="46"/>
      <c r="D25" s="46"/>
      <c r="E25" s="46"/>
      <c r="F25" s="47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</row>
    <row r="26" spans="1:17" ht="15.75">
      <c r="A26" s="108" t="s">
        <v>84</v>
      </c>
      <c r="B26" s="108"/>
      <c r="C26" s="108"/>
      <c r="D26" s="108"/>
      <c r="E26" s="46"/>
      <c r="F26" s="47"/>
      <c r="G26" s="46"/>
      <c r="H26" s="51" t="s">
        <v>88</v>
      </c>
      <c r="I26" s="46"/>
      <c r="J26" s="46"/>
      <c r="K26" s="46"/>
      <c r="L26" s="46"/>
      <c r="M26" s="46"/>
      <c r="N26" s="46"/>
      <c r="O26" s="46"/>
      <c r="P26" s="46"/>
      <c r="Q26" s="46"/>
    </row>
    <row r="27" spans="1:17" ht="15.75">
      <c r="A27" s="55">
        <f t="array" ref="A27:E27">MMULT(A24:E24,A10:E14)</f>
        <v>2.5600000000000008E-2</v>
      </c>
      <c r="B27" s="55">
        <v>0.24888888888888894</v>
      </c>
      <c r="C27" s="55">
        <v>0.48284444444444441</v>
      </c>
      <c r="D27" s="55">
        <v>0.22400000000000003</v>
      </c>
      <c r="E27" s="55">
        <v>1.8666666666666668E-2</v>
      </c>
      <c r="F27" s="47">
        <f>SUM(A27:E27)</f>
        <v>1</v>
      </c>
      <c r="G27" s="46"/>
      <c r="H27" s="53">
        <f>MMULT(A27:E27,K2:K6)</f>
        <v>3.2693777777777777</v>
      </c>
      <c r="I27" s="46"/>
      <c r="J27" s="46"/>
      <c r="K27" s="46"/>
      <c r="L27" s="46"/>
      <c r="M27" s="46"/>
      <c r="N27" s="46"/>
      <c r="O27" s="46"/>
      <c r="P27" s="46"/>
      <c r="Q27" s="46"/>
    </row>
    <row r="28" spans="1:17" ht="15.75">
      <c r="A28" s="46"/>
      <c r="B28" s="46"/>
      <c r="C28" s="46"/>
      <c r="D28" s="46"/>
      <c r="E28" s="46"/>
      <c r="F28" s="47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</row>
    <row r="29" spans="1:17" ht="15.75">
      <c r="A29" s="108" t="s">
        <v>85</v>
      </c>
      <c r="B29" s="108"/>
      <c r="C29" s="108"/>
      <c r="D29" s="108"/>
      <c r="E29" s="46"/>
      <c r="F29" s="47"/>
      <c r="G29" s="46"/>
      <c r="H29" s="51" t="s">
        <v>89</v>
      </c>
      <c r="I29" s="46"/>
      <c r="J29" s="46"/>
      <c r="K29" s="46"/>
      <c r="L29" s="46"/>
      <c r="M29" s="46"/>
      <c r="N29" s="46"/>
      <c r="O29" s="46"/>
      <c r="P29" s="46"/>
      <c r="Q29" s="46"/>
    </row>
    <row r="30" spans="1:17" ht="15.75">
      <c r="A30" s="55">
        <f t="array" ref="A30:E30">MMULT(A27:E27,A10:E14)</f>
        <v>1.0240000000000004E-2</v>
      </c>
      <c r="B30" s="55">
        <v>0.14810074074074078</v>
      </c>
      <c r="C30" s="55">
        <v>0.4380444444444444</v>
      </c>
      <c r="D30" s="55">
        <v>0.3401481481481482</v>
      </c>
      <c r="E30" s="55">
        <v>6.3466666666666671E-2</v>
      </c>
      <c r="F30" s="47">
        <f>SUM(A30:E30)</f>
        <v>1</v>
      </c>
      <c r="G30" s="46"/>
      <c r="H30" s="53">
        <f>MMULT(A30:E30,K2:K6)</f>
        <v>3.1007496296296297</v>
      </c>
      <c r="I30" s="46"/>
      <c r="J30" s="46"/>
      <c r="K30" s="46"/>
      <c r="L30" s="46"/>
      <c r="M30" s="46"/>
      <c r="N30" s="46"/>
      <c r="O30" s="46"/>
      <c r="P30" s="46"/>
      <c r="Q30" s="46"/>
    </row>
    <row r="31" spans="1:17" ht="15.75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</row>
    <row r="32" spans="1:17" ht="15.75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</row>
    <row r="33" spans="1:17" ht="15.75">
      <c r="A33" s="112" t="s">
        <v>92</v>
      </c>
      <c r="B33" s="112"/>
      <c r="C33" s="112"/>
      <c r="D33" s="112"/>
      <c r="E33" s="112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</row>
    <row r="34" spans="1:17" ht="15.75">
      <c r="A34" s="112" t="s">
        <v>117</v>
      </c>
      <c r="B34" s="112"/>
      <c r="C34" s="112"/>
      <c r="D34" s="112"/>
      <c r="E34" s="112"/>
      <c r="F34" s="46"/>
      <c r="G34" s="47" t="s">
        <v>95</v>
      </c>
      <c r="H34" s="46"/>
      <c r="I34" s="46"/>
      <c r="J34" s="46"/>
      <c r="K34" s="46"/>
      <c r="L34" s="46"/>
      <c r="M34" s="46"/>
      <c r="N34" s="46"/>
      <c r="O34" s="46"/>
      <c r="P34" s="46"/>
      <c r="Q34" s="46"/>
    </row>
    <row r="35" spans="1:17" ht="15.75">
      <c r="A35" s="52" t="s">
        <v>93</v>
      </c>
      <c r="B35" s="56">
        <v>0.13500000000000001</v>
      </c>
      <c r="C35" s="52" t="s">
        <v>94</v>
      </c>
      <c r="D35" s="49">
        <v>4.53E-2</v>
      </c>
      <c r="E35" s="46"/>
      <c r="F35" s="46"/>
      <c r="G35" s="46"/>
      <c r="H35" s="57" t="s">
        <v>101</v>
      </c>
      <c r="I35" s="46"/>
      <c r="J35" s="52" t="s">
        <v>90</v>
      </c>
      <c r="K35" s="52" t="s">
        <v>91</v>
      </c>
      <c r="L35" s="46"/>
      <c r="M35" s="46"/>
      <c r="N35" s="46"/>
      <c r="O35" s="46"/>
      <c r="P35" s="46"/>
      <c r="Q35" s="46"/>
    </row>
    <row r="36" spans="1:17" ht="17.25">
      <c r="A36" s="58" t="s">
        <v>118</v>
      </c>
      <c r="B36" s="59">
        <f>A30+B35+D35</f>
        <v>0.19054000000000001</v>
      </c>
      <c r="C36" s="59">
        <f>B30</f>
        <v>0.14810074074074078</v>
      </c>
      <c r="D36" s="59">
        <f>C30</f>
        <v>0.4380444444444444</v>
      </c>
      <c r="E36" s="60">
        <f>D30-B35</f>
        <v>0.20514814814814819</v>
      </c>
      <c r="F36" s="59">
        <f>E30-D35</f>
        <v>1.8166666666666671E-2</v>
      </c>
      <c r="G36" s="47">
        <f>SUM(B36:F36)</f>
        <v>1.0000000000000002</v>
      </c>
      <c r="H36" s="61">
        <f>MMULT(B36:F36,K2:K6)</f>
        <v>3.3938496296296301</v>
      </c>
      <c r="I36" s="46"/>
      <c r="J36" s="47">
        <v>0</v>
      </c>
      <c r="K36" s="47">
        <f>K18</f>
        <v>4.25</v>
      </c>
      <c r="L36" s="46"/>
      <c r="M36" s="46"/>
      <c r="N36" s="46"/>
      <c r="O36" s="46"/>
      <c r="P36" s="46"/>
      <c r="Q36" s="46"/>
    </row>
    <row r="37" spans="1:17" ht="15.75">
      <c r="A37" s="46"/>
      <c r="B37" s="46"/>
      <c r="C37" s="46"/>
      <c r="D37" s="46"/>
      <c r="E37" s="46"/>
      <c r="F37" s="46"/>
      <c r="G37" s="47"/>
      <c r="H37" s="46"/>
      <c r="I37" s="46"/>
      <c r="J37" s="47">
        <v>1</v>
      </c>
      <c r="K37" s="47">
        <f t="shared" ref="K37:K41" si="2">K19</f>
        <v>3.95</v>
      </c>
      <c r="L37" s="46"/>
      <c r="M37" s="46"/>
      <c r="N37" s="46"/>
      <c r="O37" s="46"/>
      <c r="P37" s="46"/>
      <c r="Q37" s="46"/>
    </row>
    <row r="38" spans="1:17" ht="15.75">
      <c r="A38" s="108" t="s">
        <v>97</v>
      </c>
      <c r="B38" s="108"/>
      <c r="C38" s="108"/>
      <c r="D38" s="108"/>
      <c r="E38" s="46"/>
      <c r="F38" s="46"/>
      <c r="G38" s="47"/>
      <c r="H38" s="51" t="s">
        <v>102</v>
      </c>
      <c r="I38" s="46"/>
      <c r="J38" s="47">
        <v>2</v>
      </c>
      <c r="K38" s="47">
        <f t="shared" si="2"/>
        <v>3.6900000000000004</v>
      </c>
      <c r="L38" s="46"/>
      <c r="M38" s="46"/>
      <c r="N38" s="46"/>
      <c r="O38" s="46"/>
      <c r="P38" s="46"/>
      <c r="Q38" s="46"/>
    </row>
    <row r="39" spans="1:17" ht="15.75">
      <c r="A39" s="46">
        <f t="array" ref="A39:E39">MMULT(B36:F36,A10:E14)</f>
        <v>7.6216000000000006E-2</v>
      </c>
      <c r="B39" s="46">
        <v>0.19331106172839507</v>
      </c>
      <c r="C39" s="46">
        <v>0.3611433086419753</v>
      </c>
      <c r="D39" s="46">
        <v>0.31013333333333337</v>
      </c>
      <c r="E39" s="46">
        <v>5.9196296296296309E-2</v>
      </c>
      <c r="F39" s="46"/>
      <c r="G39" s="47">
        <f>SUM(A39:F39)</f>
        <v>1.0000000000000002</v>
      </c>
      <c r="H39" s="53">
        <f>MMULT(A39:E39,K2:K6)</f>
        <v>3.2086085679012348</v>
      </c>
      <c r="I39" s="46"/>
      <c r="J39" s="47">
        <v>3</v>
      </c>
      <c r="K39" s="54">
        <f t="shared" si="2"/>
        <v>3.464666666666667</v>
      </c>
      <c r="L39" s="46"/>
      <c r="M39" s="46"/>
      <c r="N39" s="46"/>
      <c r="O39" s="46"/>
      <c r="P39" s="46"/>
      <c r="Q39" s="46"/>
    </row>
    <row r="40" spans="1:17" ht="15.75">
      <c r="A40" s="46"/>
      <c r="B40" s="46"/>
      <c r="C40" s="46"/>
      <c r="D40" s="46"/>
      <c r="E40" s="46"/>
      <c r="F40" s="46"/>
      <c r="G40" s="47"/>
      <c r="H40" s="46"/>
      <c r="I40" s="46"/>
      <c r="J40" s="47">
        <v>4</v>
      </c>
      <c r="K40" s="54">
        <f t="shared" si="2"/>
        <v>3.2693777777777777</v>
      </c>
      <c r="L40" s="46"/>
      <c r="M40" s="46"/>
      <c r="N40" s="46"/>
      <c r="O40" s="46"/>
      <c r="P40" s="46"/>
      <c r="Q40" s="46"/>
    </row>
    <row r="41" spans="1:17" ht="15.75">
      <c r="A41" s="108" t="s">
        <v>99</v>
      </c>
      <c r="B41" s="108"/>
      <c r="C41" s="108"/>
      <c r="D41" s="108"/>
      <c r="E41" s="46"/>
      <c r="F41" s="46"/>
      <c r="G41" s="47"/>
      <c r="H41" s="51" t="s">
        <v>103</v>
      </c>
      <c r="I41" s="46"/>
      <c r="J41" s="47">
        <v>5</v>
      </c>
      <c r="K41" s="62">
        <f t="shared" si="2"/>
        <v>3.1007496296296297</v>
      </c>
      <c r="L41" s="46"/>
      <c r="M41" s="46"/>
      <c r="N41" s="46"/>
      <c r="O41" s="46"/>
      <c r="P41" s="46"/>
      <c r="Q41" s="46"/>
    </row>
    <row r="42" spans="1:17" ht="15.75">
      <c r="A42" s="46">
        <f t="array" ref="A42:E42">MMULT(A39:E39,A10:E14)</f>
        <v>3.0486400000000004E-2</v>
      </c>
      <c r="B42" s="46">
        <v>0.14882883292181071</v>
      </c>
      <c r="C42" s="46">
        <v>0.3309740345679012</v>
      </c>
      <c r="D42" s="46">
        <v>0.36848776954732515</v>
      </c>
      <c r="E42" s="46">
        <v>0.12122296296296298</v>
      </c>
      <c r="F42" s="46"/>
      <c r="G42" s="47">
        <f>SUM(A42:F42)</f>
        <v>1</v>
      </c>
      <c r="H42" s="53">
        <f>MMULT(A42:E42,K2:K6)</f>
        <v>3.0494339687242804</v>
      </c>
      <c r="I42" s="46"/>
      <c r="J42" s="63">
        <v>5</v>
      </c>
      <c r="K42" s="62">
        <f>H36</f>
        <v>3.3938496296296301</v>
      </c>
      <c r="L42" s="46"/>
      <c r="M42" s="46"/>
      <c r="N42" s="46"/>
      <c r="O42" s="46"/>
      <c r="P42" s="46"/>
      <c r="Q42" s="46"/>
    </row>
    <row r="43" spans="1:17" ht="15.75">
      <c r="A43" s="46"/>
      <c r="B43" s="46"/>
      <c r="C43" s="46"/>
      <c r="D43" s="46"/>
      <c r="E43" s="46"/>
      <c r="F43" s="46"/>
      <c r="G43" s="47"/>
      <c r="H43" s="46"/>
      <c r="I43" s="46"/>
      <c r="J43" s="47">
        <v>6</v>
      </c>
      <c r="K43" s="54">
        <f>H39</f>
        <v>3.2086085679012348</v>
      </c>
      <c r="L43" s="46"/>
      <c r="M43" s="46"/>
      <c r="N43" s="46"/>
      <c r="O43" s="46"/>
      <c r="P43" s="46"/>
      <c r="Q43" s="46"/>
    </row>
    <row r="44" spans="1:17" ht="15.75">
      <c r="A44" s="108" t="s">
        <v>98</v>
      </c>
      <c r="B44" s="108"/>
      <c r="C44" s="108"/>
      <c r="D44" s="108"/>
      <c r="E44" s="46"/>
      <c r="F44" s="46"/>
      <c r="G44" s="47"/>
      <c r="H44" s="51" t="s">
        <v>104</v>
      </c>
      <c r="I44" s="46"/>
      <c r="J44" s="47">
        <v>7</v>
      </c>
      <c r="K44" s="54">
        <f>H42</f>
        <v>3.0494339687242804</v>
      </c>
      <c r="L44" s="46"/>
      <c r="M44" s="46"/>
      <c r="N44" s="46"/>
      <c r="O44" s="46"/>
      <c r="P44" s="46"/>
      <c r="Q44" s="46"/>
    </row>
    <row r="45" spans="1:17" ht="15.75">
      <c r="A45" s="46">
        <f t="array" ref="A45:E45">MMULT(A42:E42,A10:E14)</f>
        <v>1.2194560000000002E-2</v>
      </c>
      <c r="B45" s="46">
        <v>9.7667217558299046E-2</v>
      </c>
      <c r="C45" s="46">
        <v>0.29010281174211244</v>
      </c>
      <c r="D45" s="46">
        <v>0.40511489382716054</v>
      </c>
      <c r="E45" s="46">
        <v>0.19492051687242801</v>
      </c>
      <c r="F45" s="46"/>
      <c r="G45" s="47">
        <f>SUM(A45:F45)</f>
        <v>1</v>
      </c>
      <c r="H45" s="53">
        <f>MMULT(A45:E45,K2:K6)</f>
        <v>2.9135502049931414</v>
      </c>
      <c r="I45" s="46"/>
      <c r="J45" s="47">
        <v>8</v>
      </c>
      <c r="K45" s="54">
        <f>H45</f>
        <v>2.9135502049931414</v>
      </c>
      <c r="L45" s="46"/>
      <c r="M45" s="46"/>
      <c r="N45" s="46"/>
      <c r="O45" s="46"/>
      <c r="P45" s="46"/>
      <c r="Q45" s="46"/>
    </row>
    <row r="46" spans="1:17" ht="15.75">
      <c r="A46" s="46"/>
      <c r="B46" s="46"/>
      <c r="C46" s="46"/>
      <c r="D46" s="46"/>
      <c r="E46" s="46"/>
      <c r="F46" s="46"/>
      <c r="G46" s="47"/>
      <c r="H46" s="46"/>
      <c r="I46" s="46"/>
      <c r="J46" s="47">
        <v>9</v>
      </c>
      <c r="K46" s="54">
        <f>H48</f>
        <v>2.7982408615564704</v>
      </c>
      <c r="L46" s="46"/>
      <c r="M46" s="46"/>
      <c r="N46" s="46"/>
      <c r="O46" s="46"/>
      <c r="P46" s="46"/>
      <c r="Q46" s="46"/>
    </row>
    <row r="47" spans="1:17" ht="15.75">
      <c r="A47" s="108" t="s">
        <v>100</v>
      </c>
      <c r="B47" s="108"/>
      <c r="C47" s="108"/>
      <c r="D47" s="108"/>
      <c r="E47" s="46"/>
      <c r="F47" s="46"/>
      <c r="G47" s="47"/>
      <c r="H47" s="51" t="s">
        <v>105</v>
      </c>
      <c r="I47" s="46"/>
      <c r="J47" s="47">
        <v>10</v>
      </c>
      <c r="K47" s="54">
        <f>H51</f>
        <v>2.7010068632035362</v>
      </c>
      <c r="L47" s="46"/>
      <c r="M47" s="46"/>
      <c r="N47" s="46"/>
      <c r="O47" s="46"/>
      <c r="P47" s="46"/>
      <c r="Q47" s="46"/>
    </row>
    <row r="48" spans="1:17" ht="15.75">
      <c r="A48" s="46">
        <f t="array" ref="A48:E48">MMULT(A45:E45,A10:E14)</f>
        <v>4.8778240000000011E-3</v>
      </c>
      <c r="B48" s="46">
        <v>5.9405918697759491E-2</v>
      </c>
      <c r="C48" s="46">
        <v>0.23897990935528116</v>
      </c>
      <c r="D48" s="46">
        <v>0.4207928523090993</v>
      </c>
      <c r="E48" s="46">
        <v>0.27594349563786014</v>
      </c>
      <c r="F48" s="46"/>
      <c r="G48" s="47">
        <f>SUM(A48:F48)</f>
        <v>1</v>
      </c>
      <c r="H48" s="53">
        <f>MMULT(A48:E48,K2:K6)</f>
        <v>2.7982408615564704</v>
      </c>
      <c r="I48" s="46"/>
      <c r="J48" s="46"/>
      <c r="K48" s="46"/>
      <c r="L48" s="46"/>
      <c r="M48" s="46"/>
      <c r="N48" s="46"/>
      <c r="O48" s="46"/>
      <c r="P48" s="46"/>
      <c r="Q48" s="46"/>
    </row>
    <row r="49" spans="1:17" ht="15.75">
      <c r="A49" s="46"/>
      <c r="B49" s="46"/>
      <c r="C49" s="46"/>
      <c r="D49" s="46"/>
      <c r="E49" s="46"/>
      <c r="F49" s="46"/>
      <c r="G49" s="47"/>
      <c r="H49" s="46"/>
      <c r="I49" s="46"/>
      <c r="J49" s="46"/>
      <c r="K49" s="46"/>
      <c r="L49" s="46"/>
      <c r="M49" s="46"/>
      <c r="N49" s="46"/>
      <c r="O49" s="46"/>
      <c r="P49" s="46"/>
      <c r="Q49" s="46"/>
    </row>
    <row r="50" spans="1:17" ht="15.75">
      <c r="A50" s="108" t="s">
        <v>107</v>
      </c>
      <c r="B50" s="108"/>
      <c r="C50" s="108"/>
      <c r="D50" s="108"/>
      <c r="E50" s="46"/>
      <c r="F50" s="46"/>
      <c r="G50" s="47"/>
      <c r="H50" s="51" t="s">
        <v>106</v>
      </c>
      <c r="I50" s="46"/>
      <c r="J50" s="46"/>
      <c r="K50" s="46"/>
      <c r="L50" s="46"/>
      <c r="M50" s="46"/>
      <c r="N50" s="46"/>
      <c r="O50" s="46"/>
      <c r="P50" s="46"/>
      <c r="Q50" s="46"/>
    </row>
    <row r="51" spans="1:17" ht="15.75">
      <c r="A51" s="46">
        <f t="array" ref="A51:E51">MMULT(A48:E48,A10:E14)</f>
        <v>1.9511296000000004E-3</v>
      </c>
      <c r="B51" s="46">
        <v>3.460985103880506E-2</v>
      </c>
      <c r="C51" s="46">
        <v>0.18704270162914186</v>
      </c>
      <c r="D51" s="46">
        <v>0.41629425163237316</v>
      </c>
      <c r="E51" s="46">
        <v>0.36010206609967998</v>
      </c>
      <c r="F51" s="46"/>
      <c r="G51" s="47">
        <f>SUM(A51:F51)</f>
        <v>1</v>
      </c>
      <c r="H51" s="53">
        <f>MMULT(A51:E51,K2:K6)</f>
        <v>2.7010068632035362</v>
      </c>
      <c r="I51" s="46"/>
      <c r="J51" s="46"/>
      <c r="K51" s="46"/>
      <c r="L51" s="46"/>
      <c r="M51" s="46"/>
      <c r="N51" s="46"/>
      <c r="O51" s="46"/>
      <c r="P51" s="46"/>
      <c r="Q51" s="46"/>
    </row>
    <row r="52" spans="1:17" ht="15.75">
      <c r="A52" s="46"/>
      <c r="B52" s="46"/>
      <c r="C52" s="46"/>
      <c r="D52" s="46"/>
      <c r="E52" s="46"/>
      <c r="F52" s="111" t="s">
        <v>116</v>
      </c>
      <c r="G52" s="111"/>
      <c r="H52" s="64">
        <f>(H36+H39+H42+H45+H48+H51)/6</f>
        <v>3.0107816826680485</v>
      </c>
      <c r="I52" s="46"/>
      <c r="J52" s="46"/>
      <c r="K52" s="46"/>
      <c r="L52" s="46"/>
      <c r="M52" s="46"/>
      <c r="N52" s="46"/>
      <c r="O52" s="46"/>
      <c r="P52" s="46"/>
      <c r="Q52" s="46"/>
    </row>
    <row r="53" spans="1:17" ht="15.75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</row>
    <row r="54" spans="1:17" ht="15.75">
      <c r="A54" s="65" t="s">
        <v>108</v>
      </c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</row>
    <row r="55" spans="1:17" ht="15.75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</row>
    <row r="56" spans="1:17" ht="20.25">
      <c r="A56" s="46" t="s">
        <v>119</v>
      </c>
      <c r="B56" s="46">
        <v>20</v>
      </c>
      <c r="C56" s="46" t="s">
        <v>120</v>
      </c>
      <c r="D56" s="46">
        <v>35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</row>
    <row r="57" spans="1:17" ht="15.75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110" t="s">
        <v>109</v>
      </c>
      <c r="N57" s="110"/>
      <c r="O57" s="47"/>
      <c r="P57" s="47"/>
      <c r="Q57" s="47"/>
    </row>
    <row r="58" spans="1:17" ht="19.5">
      <c r="A58" s="109" t="s">
        <v>121</v>
      </c>
      <c r="B58" s="109"/>
      <c r="C58" s="46">
        <v>7000</v>
      </c>
      <c r="D58" s="46"/>
      <c r="E58" s="46"/>
      <c r="F58" s="46"/>
      <c r="G58" s="46"/>
      <c r="H58" s="66" t="s">
        <v>122</v>
      </c>
      <c r="I58" s="67" t="s">
        <v>110</v>
      </c>
      <c r="J58" s="67"/>
      <c r="K58" s="67"/>
      <c r="L58" s="46"/>
      <c r="M58" s="68" t="s">
        <v>114</v>
      </c>
      <c r="N58" s="47">
        <v>30000</v>
      </c>
      <c r="O58" s="47"/>
      <c r="P58" s="47"/>
      <c r="Q58" s="47"/>
    </row>
    <row r="59" spans="1:17" ht="15.75">
      <c r="A59" s="46"/>
      <c r="B59" s="46"/>
      <c r="C59" s="46"/>
      <c r="D59" s="46"/>
      <c r="E59" s="46"/>
      <c r="F59" s="46"/>
      <c r="G59" s="46"/>
      <c r="H59" s="69">
        <f>(C60/H52)</f>
        <v>9963.6915465143884</v>
      </c>
      <c r="I59" s="47"/>
      <c r="J59" s="47"/>
      <c r="K59" s="47"/>
      <c r="L59" s="46"/>
      <c r="M59" s="47"/>
      <c r="N59" s="47"/>
      <c r="O59" s="47"/>
      <c r="P59" s="47"/>
      <c r="Q59" s="47"/>
    </row>
    <row r="60" spans="1:17" ht="18.75">
      <c r="A60" s="109" t="s">
        <v>113</v>
      </c>
      <c r="B60" s="109"/>
      <c r="C60" s="46">
        <f>(B35*B56+D56*D35)*C58</f>
        <v>29998.5</v>
      </c>
      <c r="D60" s="46"/>
      <c r="E60" s="46"/>
      <c r="F60" s="46"/>
      <c r="G60" s="110" t="s">
        <v>123</v>
      </c>
      <c r="H60" s="110"/>
      <c r="I60" s="46"/>
      <c r="J60" s="46"/>
      <c r="K60" s="46"/>
      <c r="L60" s="46"/>
      <c r="M60" s="47" t="s">
        <v>124</v>
      </c>
      <c r="N60" s="50">
        <f>N58/(B56*C58)</f>
        <v>0.21428571428571427</v>
      </c>
      <c r="O60" s="70">
        <f>D30</f>
        <v>0.3401481481481482</v>
      </c>
      <c r="P60" s="110" t="s">
        <v>115</v>
      </c>
      <c r="Q60" s="110"/>
    </row>
    <row r="61" spans="1:17" ht="18.75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7" t="s">
        <v>125</v>
      </c>
      <c r="N61" s="50">
        <f>N58/(D56*C58)</f>
        <v>0.12244897959183673</v>
      </c>
      <c r="O61" s="70">
        <f>E30</f>
        <v>6.3466666666666671E-2</v>
      </c>
      <c r="P61" s="47"/>
      <c r="Q61" s="47"/>
    </row>
    <row r="62" spans="1:17" ht="15.75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7"/>
      <c r="N62" s="47"/>
      <c r="O62" s="47"/>
      <c r="P62" s="47"/>
      <c r="Q62" s="47"/>
    </row>
    <row r="63" spans="1:17" ht="18.75">
      <c r="A63" s="108" t="s">
        <v>111</v>
      </c>
      <c r="B63" s="108"/>
      <c r="C63" s="108"/>
      <c r="D63" s="108"/>
      <c r="E63" s="108"/>
      <c r="F63" s="46"/>
      <c r="G63" s="58"/>
      <c r="H63" s="46"/>
      <c r="I63" s="46"/>
      <c r="J63" s="46"/>
      <c r="K63" s="46"/>
      <c r="L63" s="46"/>
      <c r="M63" s="47"/>
      <c r="N63" s="47" t="s">
        <v>126</v>
      </c>
      <c r="O63" s="56">
        <f>MIN(N60,O60)</f>
        <v>0.21428571428571427</v>
      </c>
      <c r="P63" s="47"/>
      <c r="Q63" s="47"/>
    </row>
    <row r="64" spans="1:17" ht="18.75">
      <c r="A64" s="47" t="s">
        <v>124</v>
      </c>
      <c r="B64" s="47" t="s">
        <v>125</v>
      </c>
      <c r="C64" s="47" t="s">
        <v>112</v>
      </c>
      <c r="D64" s="47" t="s">
        <v>127</v>
      </c>
      <c r="E64" s="47" t="s">
        <v>128</v>
      </c>
      <c r="F64" s="46"/>
      <c r="G64" s="46"/>
      <c r="H64" s="46"/>
      <c r="I64" s="46"/>
      <c r="J64" s="46"/>
      <c r="K64" s="46"/>
      <c r="L64" s="46"/>
      <c r="M64" s="47"/>
      <c r="N64" s="47" t="s">
        <v>129</v>
      </c>
      <c r="O64" s="56">
        <f>MIN(N61,O61)</f>
        <v>6.3466666666666671E-2</v>
      </c>
      <c r="P64" s="47"/>
      <c r="Q64" s="47"/>
    </row>
    <row r="65" spans="1:17" ht="15.75">
      <c r="A65" s="47">
        <v>0.15</v>
      </c>
      <c r="B65" s="47">
        <v>0.04</v>
      </c>
      <c r="C65" s="47">
        <v>30800</v>
      </c>
      <c r="D65" s="47">
        <v>3.0190000000000001</v>
      </c>
      <c r="E65" s="47">
        <v>10200</v>
      </c>
      <c r="F65" s="46"/>
      <c r="G65" s="71"/>
      <c r="H65" s="71"/>
      <c r="I65" s="71"/>
      <c r="J65" s="71"/>
      <c r="K65" s="71"/>
      <c r="L65" s="58"/>
      <c r="M65" s="58"/>
      <c r="N65" s="58"/>
      <c r="O65" s="58"/>
      <c r="P65" s="46"/>
      <c r="Q65" s="46"/>
    </row>
    <row r="66" spans="1:17" ht="15.75">
      <c r="A66" s="47">
        <v>0.16</v>
      </c>
      <c r="B66" s="47">
        <v>0.03</v>
      </c>
      <c r="C66" s="47">
        <v>29750</v>
      </c>
      <c r="D66" s="50">
        <v>3.016</v>
      </c>
      <c r="E66" s="47">
        <v>9862.7999999999993</v>
      </c>
      <c r="F66" s="46"/>
      <c r="G66" s="71"/>
      <c r="H66" s="71"/>
      <c r="I66" s="71"/>
      <c r="J66" s="71"/>
      <c r="K66" s="71"/>
      <c r="L66" s="46"/>
      <c r="M66" s="46"/>
      <c r="N66" s="46"/>
      <c r="O66" s="46"/>
      <c r="P66" s="46"/>
      <c r="Q66" s="46"/>
    </row>
    <row r="67" spans="1:17" ht="15.75">
      <c r="A67" s="50">
        <v>0.14000000000000001</v>
      </c>
      <c r="B67" s="50">
        <v>4.4999999999999998E-2</v>
      </c>
      <c r="C67" s="50">
        <v>30625</v>
      </c>
      <c r="D67" s="50">
        <v>3.016</v>
      </c>
      <c r="E67" s="50">
        <v>10155</v>
      </c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</row>
    <row r="68" spans="1:17" ht="15.75">
      <c r="A68" s="47">
        <v>0.13500000000000001</v>
      </c>
      <c r="B68" s="47">
        <v>4.4999999999999998E-2</v>
      </c>
      <c r="C68" s="47">
        <v>29925</v>
      </c>
      <c r="D68" s="47">
        <v>3.01</v>
      </c>
      <c r="E68" s="47">
        <v>9940.6</v>
      </c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</row>
    <row r="69" spans="1:17" ht="15.75">
      <c r="A69" s="47">
        <v>0.13500000000000001</v>
      </c>
      <c r="B69" s="47">
        <v>4.5199999999999997E-2</v>
      </c>
      <c r="C69" s="47">
        <v>29999</v>
      </c>
      <c r="D69" s="47">
        <v>3.0110000000000001</v>
      </c>
      <c r="E69" s="47">
        <v>9963.7000000000007</v>
      </c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</row>
  </sheetData>
  <mergeCells count="23">
    <mergeCell ref="A20:D20"/>
    <mergeCell ref="A1:E1"/>
    <mergeCell ref="A4:E4"/>
    <mergeCell ref="H12:I12"/>
    <mergeCell ref="A9:E9"/>
    <mergeCell ref="A17:D17"/>
    <mergeCell ref="A23:D23"/>
    <mergeCell ref="A26:D26"/>
    <mergeCell ref="A29:D29"/>
    <mergeCell ref="A34:E34"/>
    <mergeCell ref="A33:E33"/>
    <mergeCell ref="A38:D38"/>
    <mergeCell ref="A41:D41"/>
    <mergeCell ref="A44:D44"/>
    <mergeCell ref="A47:D47"/>
    <mergeCell ref="A50:D50"/>
    <mergeCell ref="A63:E63"/>
    <mergeCell ref="A60:B60"/>
    <mergeCell ref="M57:N57"/>
    <mergeCell ref="P60:Q60"/>
    <mergeCell ref="F52:G52"/>
    <mergeCell ref="G60:H60"/>
    <mergeCell ref="A58:B5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B853A-EE00-4C7E-BCAF-3264B6E83747}">
  <dimension ref="A1:S69"/>
  <sheetViews>
    <sheetView zoomScale="84" workbookViewId="0">
      <selection activeCell="R72" sqref="R72"/>
    </sheetView>
  </sheetViews>
  <sheetFormatPr defaultRowHeight="15"/>
  <cols>
    <col min="6" max="6" width="13.140625" bestFit="1" customWidth="1"/>
    <col min="8" max="8" width="14.5703125" bestFit="1" customWidth="1"/>
    <col min="15" max="15" width="14.5703125" bestFit="1" customWidth="1"/>
  </cols>
  <sheetData>
    <row r="1" spans="1:19">
      <c r="A1" s="113" t="s">
        <v>57</v>
      </c>
      <c r="B1" s="113"/>
      <c r="C1" s="113"/>
      <c r="D1" s="113"/>
      <c r="E1" s="113"/>
      <c r="F1" s="9"/>
      <c r="H1" s="9" t="s">
        <v>65</v>
      </c>
      <c r="I1" s="9" t="s">
        <v>67</v>
      </c>
      <c r="J1" s="9" t="s">
        <v>68</v>
      </c>
      <c r="K1" s="36" t="s">
        <v>66</v>
      </c>
      <c r="M1" s="41" t="s">
        <v>69</v>
      </c>
      <c r="O1" s="9" t="s">
        <v>65</v>
      </c>
      <c r="P1" s="9" t="s">
        <v>77</v>
      </c>
      <c r="Q1" s="9" t="s">
        <v>78</v>
      </c>
      <c r="R1" s="36" t="s">
        <v>66</v>
      </c>
      <c r="S1" s="9" t="s">
        <v>80</v>
      </c>
    </row>
    <row r="2" spans="1:19">
      <c r="A2" s="35" t="s">
        <v>58</v>
      </c>
      <c r="B2" s="35" t="s">
        <v>59</v>
      </c>
      <c r="C2" s="35" t="s">
        <v>60</v>
      </c>
      <c r="D2" s="35" t="s">
        <v>61</v>
      </c>
      <c r="E2" s="35"/>
      <c r="F2" s="9" t="s">
        <v>63</v>
      </c>
      <c r="H2" s="9">
        <v>1</v>
      </c>
      <c r="I2" s="9">
        <v>4</v>
      </c>
      <c r="J2" s="9">
        <v>4.5</v>
      </c>
      <c r="K2" s="9">
        <f>(I2+J2)/2</f>
        <v>4.25</v>
      </c>
      <c r="M2" s="41">
        <f>MMULT(A3:D3,K2:K5)</f>
        <v>4.25</v>
      </c>
      <c r="O2" s="9">
        <v>1</v>
      </c>
      <c r="P2" s="9">
        <v>80</v>
      </c>
      <c r="Q2" s="9">
        <v>100</v>
      </c>
      <c r="R2" s="9">
        <f>(P2+Q2)/2</f>
        <v>90</v>
      </c>
      <c r="S2" s="9">
        <f>MMULT(A3:D3,R2:R5)</f>
        <v>90</v>
      </c>
    </row>
    <row r="3" spans="1:19">
      <c r="A3" s="9">
        <v>1</v>
      </c>
      <c r="B3" s="9">
        <v>0</v>
      </c>
      <c r="C3" s="9">
        <v>0</v>
      </c>
      <c r="D3" s="9">
        <v>0</v>
      </c>
      <c r="E3" s="9"/>
      <c r="F3" s="9">
        <f>SUM(A3:E3)</f>
        <v>1</v>
      </c>
      <c r="H3" s="9">
        <v>2</v>
      </c>
      <c r="I3" s="9">
        <v>3.5</v>
      </c>
      <c r="J3" s="9">
        <v>4</v>
      </c>
      <c r="K3" s="9">
        <f t="shared" ref="K3:K5" si="0">(I3+J3)/2</f>
        <v>3.75</v>
      </c>
      <c r="M3" s="9"/>
      <c r="O3" s="9">
        <v>2</v>
      </c>
      <c r="P3" s="9">
        <v>60</v>
      </c>
      <c r="Q3" s="9">
        <v>80</v>
      </c>
      <c r="R3" s="9">
        <f t="shared" ref="R3:R5" si="1">(P3+Q3)/2</f>
        <v>70</v>
      </c>
    </row>
    <row r="4" spans="1:19">
      <c r="A4" s="113" t="s">
        <v>64</v>
      </c>
      <c r="B4" s="113"/>
      <c r="C4" s="113"/>
      <c r="D4" s="113"/>
      <c r="E4" s="113"/>
      <c r="F4" s="9"/>
      <c r="H4" s="9">
        <v>3</v>
      </c>
      <c r="I4" s="9">
        <v>3</v>
      </c>
      <c r="J4" s="9">
        <v>3.5</v>
      </c>
      <c r="K4" s="9">
        <f t="shared" si="0"/>
        <v>3.25</v>
      </c>
      <c r="O4" s="9">
        <v>3</v>
      </c>
      <c r="P4" s="9">
        <v>40</v>
      </c>
      <c r="Q4" s="9">
        <v>60</v>
      </c>
      <c r="R4" s="9">
        <f t="shared" si="1"/>
        <v>50</v>
      </c>
    </row>
    <row r="5" spans="1:19">
      <c r="H5" s="9">
        <v>4</v>
      </c>
      <c r="I5" s="9">
        <v>2.5</v>
      </c>
      <c r="J5" s="9">
        <v>3</v>
      </c>
      <c r="K5" s="9">
        <f t="shared" si="0"/>
        <v>2.75</v>
      </c>
      <c r="O5" s="9">
        <v>4</v>
      </c>
      <c r="P5" s="9">
        <v>20</v>
      </c>
      <c r="Q5" s="9">
        <v>40</v>
      </c>
      <c r="R5" s="9">
        <f t="shared" si="1"/>
        <v>30</v>
      </c>
    </row>
    <row r="6" spans="1:19">
      <c r="H6" s="9"/>
      <c r="I6" s="9"/>
      <c r="J6" s="9"/>
      <c r="K6" s="9"/>
      <c r="O6" s="9"/>
      <c r="P6" s="9"/>
      <c r="Q6" s="9"/>
      <c r="R6" s="9"/>
    </row>
    <row r="7" spans="1:19">
      <c r="A7" s="37" t="s">
        <v>71</v>
      </c>
      <c r="B7">
        <v>4</v>
      </c>
      <c r="D7" s="38" t="s">
        <v>72</v>
      </c>
      <c r="E7">
        <f>(I13-I14)/(B7-2)</f>
        <v>0.19999999999999998</v>
      </c>
    </row>
    <row r="9" spans="1:19">
      <c r="A9" s="113" t="s">
        <v>70</v>
      </c>
      <c r="B9" s="113"/>
      <c r="C9" s="113"/>
      <c r="D9" s="113"/>
      <c r="E9" s="113"/>
      <c r="F9" s="9" t="s">
        <v>76</v>
      </c>
    </row>
    <row r="10" spans="1:19">
      <c r="A10" s="9">
        <f>F10-B10</f>
        <v>0.4</v>
      </c>
      <c r="B10" s="27">
        <f>I13</f>
        <v>0.6</v>
      </c>
      <c r="C10" s="9">
        <v>0</v>
      </c>
      <c r="D10" s="9">
        <v>0</v>
      </c>
      <c r="E10" s="9"/>
      <c r="F10" s="9">
        <v>1</v>
      </c>
    </row>
    <row r="11" spans="1:19">
      <c r="A11" s="9">
        <v>0</v>
      </c>
      <c r="B11" s="40">
        <f>A10+E7</f>
        <v>0.6</v>
      </c>
      <c r="C11" s="40">
        <f>B10-E7</f>
        <v>0.4</v>
      </c>
      <c r="D11" s="9">
        <v>0</v>
      </c>
      <c r="E11" s="9"/>
      <c r="F11" s="9">
        <v>1</v>
      </c>
    </row>
    <row r="12" spans="1:19">
      <c r="A12" s="9">
        <v>0</v>
      </c>
      <c r="B12" s="9">
        <v>0</v>
      </c>
      <c r="C12" s="40">
        <f>B11+E7</f>
        <v>0.79999999999999993</v>
      </c>
      <c r="D12" s="27">
        <v>0.2</v>
      </c>
      <c r="E12" s="9"/>
      <c r="F12" s="9">
        <v>1</v>
      </c>
      <c r="H12" s="116" t="s">
        <v>74</v>
      </c>
      <c r="I12" s="116"/>
    </row>
    <row r="13" spans="1:19">
      <c r="A13" s="9">
        <v>0</v>
      </c>
      <c r="B13" s="9">
        <v>0</v>
      </c>
      <c r="C13" s="9">
        <v>0</v>
      </c>
      <c r="D13" s="9">
        <v>1</v>
      </c>
      <c r="F13" s="9">
        <v>1</v>
      </c>
      <c r="H13" s="9" t="s">
        <v>73</v>
      </c>
      <c r="I13" s="27">
        <v>0.6</v>
      </c>
    </row>
    <row r="14" spans="1:19">
      <c r="A14" s="9"/>
      <c r="B14" s="9"/>
      <c r="C14" s="9"/>
      <c r="D14" s="9"/>
      <c r="E14" s="39"/>
      <c r="F14" s="9"/>
      <c r="H14" s="9" t="s">
        <v>75</v>
      </c>
      <c r="I14" s="27">
        <v>0.2</v>
      </c>
    </row>
    <row r="17" spans="1:11">
      <c r="A17" s="113" t="s">
        <v>79</v>
      </c>
      <c r="B17" s="113"/>
      <c r="C17" s="113"/>
      <c r="D17" s="113"/>
      <c r="F17" s="9"/>
      <c r="H17" s="44" t="s">
        <v>81</v>
      </c>
      <c r="J17" s="41" t="s">
        <v>90</v>
      </c>
      <c r="K17" s="41" t="s">
        <v>91</v>
      </c>
    </row>
    <row r="18" spans="1:11">
      <c r="A18">
        <f t="array" ref="A18:D18">MMULT(A3:D3,A10:D13)</f>
        <v>0.4</v>
      </c>
      <c r="B18">
        <v>0.6</v>
      </c>
      <c r="C18">
        <v>0</v>
      </c>
      <c r="D18">
        <v>0</v>
      </c>
      <c r="F18" s="9">
        <f>SUM(A18:E18)</f>
        <v>1</v>
      </c>
      <c r="H18" s="42">
        <f>MMULT(A18:D18,K2:K5)</f>
        <v>3.95</v>
      </c>
      <c r="J18" s="9">
        <v>0</v>
      </c>
      <c r="K18" s="9">
        <f>M2</f>
        <v>4.25</v>
      </c>
    </row>
    <row r="19" spans="1:11">
      <c r="F19" s="9"/>
      <c r="J19" s="9">
        <v>1</v>
      </c>
      <c r="K19" s="45">
        <f>H18</f>
        <v>3.95</v>
      </c>
    </row>
    <row r="20" spans="1:11">
      <c r="A20" s="113" t="s">
        <v>82</v>
      </c>
      <c r="B20" s="113"/>
      <c r="C20" s="113"/>
      <c r="D20" s="113"/>
      <c r="F20" s="9"/>
      <c r="H20" s="44" t="s">
        <v>86</v>
      </c>
      <c r="J20" s="9">
        <v>2</v>
      </c>
      <c r="K20" s="45">
        <f>H21</f>
        <v>3.71</v>
      </c>
    </row>
    <row r="21" spans="1:11">
      <c r="A21">
        <f t="array" ref="A21:D21">MMULT(A18:D18,A10:D13)</f>
        <v>0.16000000000000003</v>
      </c>
      <c r="B21">
        <v>0.6</v>
      </c>
      <c r="C21">
        <v>0.24</v>
      </c>
      <c r="D21">
        <v>0</v>
      </c>
      <c r="F21" s="9">
        <f>SUM(A21:E21)</f>
        <v>1</v>
      </c>
      <c r="H21" s="42">
        <f>MMULT(A21:D21,K2:K5)</f>
        <v>3.71</v>
      </c>
      <c r="J21" s="9">
        <v>3</v>
      </c>
      <c r="K21" s="45">
        <f>H24</f>
        <v>3.5180000000000002</v>
      </c>
    </row>
    <row r="22" spans="1:11">
      <c r="F22" s="9"/>
      <c r="J22" s="9">
        <v>4</v>
      </c>
      <c r="K22" s="45">
        <f>H27</f>
        <v>3.3643999999999998</v>
      </c>
    </row>
    <row r="23" spans="1:11">
      <c r="A23" s="113" t="s">
        <v>83</v>
      </c>
      <c r="B23" s="113"/>
      <c r="C23" s="113"/>
      <c r="D23" s="113"/>
      <c r="F23" s="9"/>
      <c r="H23" s="44" t="s">
        <v>87</v>
      </c>
      <c r="J23" s="9"/>
      <c r="K23" s="45"/>
    </row>
    <row r="24" spans="1:11">
      <c r="A24">
        <f t="array" ref="A24:D24">MMULT(A21:D21,A10:D13)</f>
        <v>6.4000000000000015E-2</v>
      </c>
      <c r="B24" s="43">
        <v>0.45600000000000002</v>
      </c>
      <c r="C24">
        <v>0.43199999999999994</v>
      </c>
      <c r="D24" s="43">
        <v>4.8000000000000001E-2</v>
      </c>
      <c r="F24" s="9">
        <f>SUM(A24:E24)</f>
        <v>1</v>
      </c>
      <c r="H24" s="42">
        <f>MMULT(A24:D24,K2:K5)</f>
        <v>3.5180000000000002</v>
      </c>
    </row>
    <row r="25" spans="1:11">
      <c r="F25" s="9"/>
    </row>
    <row r="26" spans="1:11">
      <c r="A26" s="113" t="s">
        <v>84</v>
      </c>
      <c r="B26" s="113"/>
      <c r="C26" s="113"/>
      <c r="D26" s="113"/>
      <c r="F26" s="9"/>
      <c r="H26" s="44" t="s">
        <v>88</v>
      </c>
    </row>
    <row r="27" spans="1:11">
      <c r="A27" s="43">
        <f t="array" ref="A27:D27">MMULT(A24:D24,A10:D13)</f>
        <v>2.5600000000000008E-2</v>
      </c>
      <c r="B27" s="43">
        <v>0.312</v>
      </c>
      <c r="C27" s="43">
        <v>0.52799999999999991</v>
      </c>
      <c r="D27" s="43">
        <v>0.13439999999999999</v>
      </c>
      <c r="E27" s="43"/>
      <c r="F27" s="9">
        <f>SUM(A27:E27)</f>
        <v>0.99999999999999989</v>
      </c>
      <c r="H27" s="42">
        <f>MMULT(A27:D27,K2:K5)</f>
        <v>3.3643999999999998</v>
      </c>
    </row>
    <row r="28" spans="1:11">
      <c r="F28" s="9"/>
    </row>
    <row r="29" spans="1:11">
      <c r="A29" s="113"/>
      <c r="B29" s="113"/>
      <c r="C29" s="113"/>
      <c r="D29" s="113"/>
      <c r="F29" s="9"/>
      <c r="H29" s="44"/>
    </row>
    <row r="30" spans="1:11">
      <c r="A30" s="43"/>
      <c r="B30" s="43"/>
      <c r="C30" s="43"/>
      <c r="D30" s="43"/>
      <c r="E30" s="43"/>
      <c r="F30" s="9"/>
      <c r="H30" s="42"/>
    </row>
    <row r="33" spans="1:17" ht="15.75">
      <c r="A33" s="112" t="s">
        <v>92</v>
      </c>
      <c r="B33" s="112"/>
      <c r="C33" s="112"/>
      <c r="D33" s="112"/>
      <c r="E33" s="112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</row>
    <row r="34" spans="1:17" ht="15.75">
      <c r="A34" s="112" t="s">
        <v>117</v>
      </c>
      <c r="B34" s="112"/>
      <c r="C34" s="112"/>
      <c r="D34" s="112"/>
      <c r="E34" s="112"/>
      <c r="F34" s="46"/>
      <c r="G34" s="47" t="s">
        <v>95</v>
      </c>
      <c r="H34" s="46"/>
      <c r="I34" s="46"/>
      <c r="J34" s="46"/>
      <c r="K34" s="46"/>
      <c r="L34" s="46"/>
      <c r="M34" s="46"/>
      <c r="N34" s="46"/>
      <c r="O34" s="46"/>
      <c r="P34" s="46"/>
      <c r="Q34" s="46"/>
    </row>
    <row r="35" spans="1:17" ht="15.75">
      <c r="A35" s="52" t="s">
        <v>131</v>
      </c>
      <c r="B35" s="56">
        <v>0.05</v>
      </c>
      <c r="C35" s="52" t="s">
        <v>93</v>
      </c>
      <c r="D35" s="49">
        <v>9.5000000000000001E-2</v>
      </c>
      <c r="E35" s="46"/>
      <c r="F35" s="46"/>
      <c r="G35" s="46"/>
      <c r="H35" s="57" t="s">
        <v>101</v>
      </c>
      <c r="I35" s="46"/>
      <c r="J35" s="52" t="s">
        <v>90</v>
      </c>
      <c r="K35" s="52" t="s">
        <v>91</v>
      </c>
      <c r="L35" s="46"/>
      <c r="M35" s="46"/>
      <c r="N35" s="46"/>
      <c r="O35" s="46"/>
      <c r="P35" s="46"/>
      <c r="Q35" s="46"/>
    </row>
    <row r="36" spans="1:17" ht="17.25">
      <c r="A36" s="58" t="s">
        <v>132</v>
      </c>
      <c r="B36" s="59">
        <f>A27+B35+D35</f>
        <v>0.17060000000000003</v>
      </c>
      <c r="C36" s="59">
        <f>B27</f>
        <v>0.312</v>
      </c>
      <c r="D36" s="59">
        <f>C27</f>
        <v>0.52799999999999991</v>
      </c>
      <c r="E36" s="60">
        <f>D273</f>
        <v>0</v>
      </c>
      <c r="F36" s="59"/>
      <c r="G36" s="47">
        <f>SUM(B36:F36)</f>
        <v>1.0105999999999999</v>
      </c>
      <c r="H36" s="61">
        <f>MMULT(B36:E36,K2:K5)</f>
        <v>3.6110499999999996</v>
      </c>
      <c r="I36" s="46"/>
      <c r="J36" s="47">
        <v>0</v>
      </c>
      <c r="K36" s="47">
        <f>K18</f>
        <v>4.25</v>
      </c>
      <c r="L36" s="46"/>
      <c r="M36" s="46"/>
      <c r="N36" s="46"/>
      <c r="O36" s="46"/>
      <c r="P36" s="46"/>
      <c r="Q36" s="46"/>
    </row>
    <row r="37" spans="1:17" ht="15.75">
      <c r="A37" s="46"/>
      <c r="B37" s="46"/>
      <c r="C37" s="46"/>
      <c r="D37" s="46"/>
      <c r="E37" s="46"/>
      <c r="F37" s="46"/>
      <c r="G37" s="47"/>
      <c r="H37" s="46"/>
      <c r="I37" s="46"/>
      <c r="J37" s="47">
        <v>1</v>
      </c>
      <c r="K37" s="47">
        <f t="shared" ref="K37:K40" si="2">K19</f>
        <v>3.95</v>
      </c>
      <c r="L37" s="46"/>
      <c r="M37" s="46"/>
      <c r="N37" s="46"/>
      <c r="O37" s="46"/>
      <c r="P37" s="46"/>
      <c r="Q37" s="46"/>
    </row>
    <row r="38" spans="1:17" ht="15.75">
      <c r="A38" s="108" t="s">
        <v>133</v>
      </c>
      <c r="B38" s="108"/>
      <c r="C38" s="108"/>
      <c r="D38" s="108"/>
      <c r="E38" s="46"/>
      <c r="F38" s="46"/>
      <c r="G38" s="47"/>
      <c r="H38" s="51" t="s">
        <v>102</v>
      </c>
      <c r="I38" s="46"/>
      <c r="J38" s="47">
        <v>2</v>
      </c>
      <c r="K38" s="47">
        <f t="shared" si="2"/>
        <v>3.71</v>
      </c>
      <c r="L38" s="46"/>
      <c r="M38" s="46"/>
      <c r="N38" s="46"/>
      <c r="O38" s="46"/>
      <c r="P38" s="46"/>
      <c r="Q38" s="46"/>
    </row>
    <row r="39" spans="1:17" ht="15.75">
      <c r="A39" s="46">
        <f t="array" ref="A39:D39">MMULT(B36:E36,A10:D13)</f>
        <v>6.8240000000000009E-2</v>
      </c>
      <c r="B39" s="46">
        <v>0.28956000000000004</v>
      </c>
      <c r="C39" s="46">
        <v>0.54719999999999991</v>
      </c>
      <c r="D39" s="46">
        <v>0.10559999999999999</v>
      </c>
      <c r="E39" s="46"/>
      <c r="F39" s="46"/>
      <c r="G39" s="47">
        <f>SUM(A39:F39)</f>
        <v>1.0105999999999999</v>
      </c>
      <c r="H39" s="53">
        <f>MMULT(A39:D39,K2:K5)</f>
        <v>3.4446700000000003</v>
      </c>
      <c r="I39" s="46"/>
      <c r="J39" s="47">
        <v>3</v>
      </c>
      <c r="K39" s="54">
        <f t="shared" si="2"/>
        <v>3.5180000000000002</v>
      </c>
      <c r="L39" s="46"/>
      <c r="M39" s="46"/>
      <c r="N39" s="46"/>
      <c r="O39" s="46"/>
      <c r="P39" s="46"/>
      <c r="Q39" s="46"/>
    </row>
    <row r="40" spans="1:17" ht="15.75">
      <c r="A40" s="46"/>
      <c r="B40" s="46"/>
      <c r="C40" s="46"/>
      <c r="D40" s="46"/>
      <c r="E40" s="46"/>
      <c r="F40" s="46"/>
      <c r="G40" s="47"/>
      <c r="H40" s="46"/>
      <c r="I40" s="46"/>
      <c r="J40" s="47">
        <v>4</v>
      </c>
      <c r="K40" s="62">
        <f t="shared" si="2"/>
        <v>3.3643999999999998</v>
      </c>
      <c r="L40" s="46"/>
      <c r="M40" s="46"/>
      <c r="N40" s="46"/>
      <c r="O40" s="46"/>
      <c r="P40" s="46"/>
      <c r="Q40" s="46"/>
    </row>
    <row r="41" spans="1:17" ht="15.75">
      <c r="A41" s="108" t="s">
        <v>97</v>
      </c>
      <c r="B41" s="108"/>
      <c r="C41" s="108"/>
      <c r="D41" s="108"/>
      <c r="E41" s="46"/>
      <c r="F41" s="46"/>
      <c r="G41" s="47"/>
      <c r="H41" s="51" t="s">
        <v>103</v>
      </c>
      <c r="I41" s="46"/>
      <c r="J41" s="63">
        <v>4</v>
      </c>
      <c r="K41" s="62">
        <f>H36</f>
        <v>3.6110499999999996</v>
      </c>
      <c r="L41" s="46"/>
      <c r="M41" s="46"/>
      <c r="N41" s="46"/>
      <c r="O41" s="46"/>
      <c r="P41" s="46"/>
      <c r="Q41" s="46"/>
    </row>
    <row r="42" spans="1:17" ht="15.75">
      <c r="A42" s="46">
        <f t="array" ref="A42:D42">MMULT(A39:D39,A10:D13)</f>
        <v>2.7296000000000004E-2</v>
      </c>
      <c r="B42" s="46">
        <v>0.21468000000000004</v>
      </c>
      <c r="C42" s="46">
        <v>0.55358399999999985</v>
      </c>
      <c r="D42" s="46">
        <v>0.21503999999999995</v>
      </c>
      <c r="E42" s="46"/>
      <c r="F42" s="46"/>
      <c r="G42" s="47">
        <f>SUM(A42:F42)</f>
        <v>1.0105999999999999</v>
      </c>
      <c r="H42" s="53">
        <f>MMULT(A42:D42,K2:K5)</f>
        <v>3.3115659999999996</v>
      </c>
      <c r="I42" s="46"/>
      <c r="J42" s="47">
        <v>6</v>
      </c>
      <c r="K42" s="54">
        <f>H39</f>
        <v>3.4446700000000003</v>
      </c>
      <c r="L42" s="46"/>
      <c r="M42" s="46"/>
      <c r="N42" s="46"/>
      <c r="O42" s="46"/>
      <c r="P42" s="46"/>
      <c r="Q42" s="46"/>
    </row>
    <row r="43" spans="1:17" ht="15.75">
      <c r="A43" s="46"/>
      <c r="B43" s="46"/>
      <c r="C43" s="46"/>
      <c r="D43" s="46"/>
      <c r="E43" s="46"/>
      <c r="F43" s="46"/>
      <c r="G43" s="47"/>
      <c r="H43" s="46"/>
      <c r="I43" s="46"/>
      <c r="J43" s="47">
        <v>7</v>
      </c>
      <c r="K43" s="54">
        <f>H42</f>
        <v>3.3115659999999996</v>
      </c>
      <c r="L43" s="46"/>
      <c r="M43" s="46"/>
      <c r="N43" s="46"/>
      <c r="O43" s="46"/>
      <c r="P43" s="46"/>
      <c r="Q43" s="46"/>
    </row>
    <row r="44" spans="1:17" ht="15.75">
      <c r="A44" s="108" t="s">
        <v>99</v>
      </c>
      <c r="B44" s="108"/>
      <c r="C44" s="108"/>
      <c r="D44" s="108"/>
      <c r="E44" s="46"/>
      <c r="F44" s="46"/>
      <c r="G44" s="47"/>
      <c r="H44" s="51" t="s">
        <v>104</v>
      </c>
      <c r="I44" s="46"/>
      <c r="J44" s="47">
        <v>8</v>
      </c>
      <c r="K44" s="54">
        <f>H45</f>
        <v>3.2050827999999996</v>
      </c>
      <c r="L44" s="46"/>
      <c r="M44" s="46"/>
      <c r="N44" s="46"/>
      <c r="O44" s="46"/>
      <c r="P44" s="46"/>
      <c r="Q44" s="46"/>
    </row>
    <row r="45" spans="1:17" ht="15.75">
      <c r="A45" s="46">
        <f t="array" ref="A45:D45">MMULT(A42:D42,A10:D13)</f>
        <v>1.0918400000000002E-2</v>
      </c>
      <c r="B45" s="46">
        <v>0.1451856</v>
      </c>
      <c r="C45" s="46">
        <v>0.52873919999999985</v>
      </c>
      <c r="D45" s="46">
        <v>0.32575679999999996</v>
      </c>
      <c r="E45" s="46"/>
      <c r="F45" s="46"/>
      <c r="G45" s="47">
        <f>SUM(A45:F45)</f>
        <v>1.0105999999999997</v>
      </c>
      <c r="H45" s="53">
        <f>MMULT(A45:D45,K2:K5)</f>
        <v>3.2050827999999996</v>
      </c>
      <c r="I45" s="46"/>
      <c r="J45" s="47">
        <v>9</v>
      </c>
      <c r="K45" s="54">
        <f>H48</f>
        <v>3.1198962399999992</v>
      </c>
      <c r="L45" s="46"/>
      <c r="M45" s="46"/>
      <c r="N45" s="46"/>
      <c r="O45" s="46"/>
      <c r="P45" s="46"/>
      <c r="Q45" s="46"/>
    </row>
    <row r="46" spans="1:17" ht="15.75">
      <c r="A46" s="46"/>
      <c r="B46" s="46"/>
      <c r="C46" s="46"/>
      <c r="D46" s="46"/>
      <c r="E46" s="46"/>
      <c r="F46" s="46"/>
      <c r="G46" s="47"/>
      <c r="H46" s="46"/>
      <c r="I46" s="46"/>
      <c r="J46" s="47"/>
      <c r="K46" s="54"/>
      <c r="L46" s="46"/>
      <c r="M46" s="46"/>
      <c r="N46" s="46"/>
      <c r="O46" s="46"/>
      <c r="P46" s="46"/>
      <c r="Q46" s="46"/>
    </row>
    <row r="47" spans="1:17" ht="15.75">
      <c r="A47" s="108" t="s">
        <v>98</v>
      </c>
      <c r="B47" s="108"/>
      <c r="C47" s="108"/>
      <c r="D47" s="108"/>
      <c r="E47" s="46"/>
      <c r="F47" s="46"/>
      <c r="G47" s="47"/>
      <c r="H47" s="51" t="s">
        <v>105</v>
      </c>
      <c r="I47" s="46"/>
      <c r="L47" s="46"/>
      <c r="M47" s="46"/>
      <c r="N47" s="46"/>
      <c r="O47" s="46"/>
      <c r="P47" s="46"/>
      <c r="Q47" s="46"/>
    </row>
    <row r="48" spans="1:17" ht="15.75">
      <c r="A48" s="46">
        <f t="array" ref="A48:D48">MMULT(A45:D45,A10:D13)</f>
        <v>4.3673600000000007E-3</v>
      </c>
      <c r="B48" s="46">
        <v>9.3662400000000007E-2</v>
      </c>
      <c r="C48" s="46">
        <v>0.48106559999999987</v>
      </c>
      <c r="D48" s="46">
        <v>0.43150463999999994</v>
      </c>
      <c r="E48" s="46"/>
      <c r="F48" s="46"/>
      <c r="G48" s="47">
        <f>SUM(A48:F48)</f>
        <v>1.0105999999999997</v>
      </c>
      <c r="H48" s="53">
        <f>MMULT(A48:D48,K2:K5)</f>
        <v>3.1198962399999992</v>
      </c>
      <c r="I48" s="46"/>
      <c r="J48" s="46"/>
      <c r="K48" s="46"/>
      <c r="L48" s="46"/>
      <c r="M48" s="46"/>
      <c r="N48" s="46"/>
      <c r="O48" s="46"/>
      <c r="P48" s="46"/>
      <c r="Q48" s="46"/>
    </row>
    <row r="49" spans="1:17" ht="15.75">
      <c r="A49" s="46"/>
      <c r="B49" s="46"/>
      <c r="C49" s="46"/>
      <c r="D49" s="46"/>
      <c r="E49" s="46"/>
      <c r="F49" s="46"/>
      <c r="G49" s="47"/>
      <c r="H49" s="46"/>
      <c r="I49" s="46"/>
      <c r="J49" s="46"/>
      <c r="K49" s="46"/>
      <c r="L49" s="46"/>
      <c r="M49" s="46"/>
      <c r="N49" s="46"/>
      <c r="O49" s="46"/>
      <c r="P49" s="46"/>
      <c r="Q49" s="46"/>
    </row>
    <row r="50" spans="1:17" ht="15.75">
      <c r="A50" s="108" t="s">
        <v>100</v>
      </c>
      <c r="B50" s="108"/>
      <c r="C50" s="108"/>
      <c r="D50" s="108"/>
      <c r="E50" s="46"/>
      <c r="F50" s="46"/>
      <c r="G50" s="47"/>
      <c r="H50" s="51" t="s">
        <v>106</v>
      </c>
      <c r="I50" s="46"/>
      <c r="J50" s="46"/>
      <c r="K50" s="46"/>
      <c r="L50" s="46"/>
      <c r="M50" s="46"/>
      <c r="N50" s="46"/>
      <c r="O50" s="46"/>
      <c r="P50" s="46"/>
      <c r="Q50" s="46"/>
    </row>
    <row r="51" spans="1:17" ht="15.75">
      <c r="A51" s="46">
        <f t="array" ref="A51:D51">MMULT(A48:D48,A10:D13)</f>
        <v>1.7469440000000003E-3</v>
      </c>
      <c r="B51" s="46">
        <v>5.8817856000000002E-2</v>
      </c>
      <c r="C51" s="46">
        <v>0.42231743999999988</v>
      </c>
      <c r="D51" s="46">
        <v>0.52771775999999992</v>
      </c>
      <c r="E51" s="46"/>
      <c r="F51" s="46"/>
      <c r="G51" s="47">
        <f>SUM(A51:F51)</f>
        <v>1.0105999999999997</v>
      </c>
      <c r="H51" s="53">
        <f>MMULT(A51:D51,K2:K5)</f>
        <v>3.0517469919999991</v>
      </c>
      <c r="I51" s="46"/>
      <c r="J51" s="46"/>
      <c r="K51" s="46"/>
      <c r="L51" s="46"/>
      <c r="M51" s="46"/>
      <c r="N51" s="46"/>
      <c r="O51" s="46"/>
      <c r="P51" s="46"/>
      <c r="Q51" s="46"/>
    </row>
    <row r="52" spans="1:17" ht="15.75">
      <c r="A52" s="46"/>
      <c r="B52" s="46"/>
      <c r="C52" s="46"/>
      <c r="D52" s="46"/>
      <c r="E52" s="46"/>
      <c r="F52" s="111" t="s">
        <v>116</v>
      </c>
      <c r="G52" s="111"/>
      <c r="H52" s="64">
        <f>(H36+H39+H42+H45+H48+H51)/5</f>
        <v>3.9488024063999996</v>
      </c>
      <c r="I52" s="46"/>
      <c r="J52" s="46"/>
      <c r="K52" s="46"/>
      <c r="L52" s="46"/>
      <c r="M52" s="46"/>
      <c r="N52" s="46"/>
      <c r="O52" s="46"/>
      <c r="P52" s="46"/>
      <c r="Q52" s="46"/>
    </row>
    <row r="53" spans="1:17" ht="15.75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</row>
    <row r="54" spans="1:17" ht="15.75">
      <c r="A54" s="115" t="s">
        <v>108</v>
      </c>
      <c r="B54" s="115"/>
      <c r="C54" s="115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</row>
    <row r="55" spans="1:17" ht="15.75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</row>
    <row r="56" spans="1:17" ht="20.25">
      <c r="A56" s="46" t="s">
        <v>119</v>
      </c>
      <c r="B56" s="46">
        <v>20</v>
      </c>
      <c r="C56" s="46" t="s">
        <v>120</v>
      </c>
      <c r="D56" s="46">
        <v>35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</row>
    <row r="57" spans="1:17" ht="15.75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110" t="s">
        <v>109</v>
      </c>
      <c r="N57" s="110"/>
      <c r="O57" s="47"/>
      <c r="P57" s="47"/>
      <c r="Q57" s="47"/>
    </row>
    <row r="58" spans="1:17" ht="19.5">
      <c r="A58" s="109" t="s">
        <v>121</v>
      </c>
      <c r="B58" s="109"/>
      <c r="C58" s="46">
        <v>7000</v>
      </c>
      <c r="D58" s="46"/>
      <c r="E58" s="46"/>
      <c r="F58" s="46"/>
      <c r="G58" s="46"/>
      <c r="H58" s="66" t="s">
        <v>122</v>
      </c>
      <c r="I58" s="67" t="s">
        <v>110</v>
      </c>
      <c r="J58" s="67"/>
      <c r="K58" s="67"/>
      <c r="L58" s="46"/>
      <c r="M58" s="68" t="s">
        <v>114</v>
      </c>
      <c r="N58" s="47">
        <v>30000</v>
      </c>
      <c r="O58" s="47"/>
      <c r="P58" s="47"/>
      <c r="Q58" s="47"/>
    </row>
    <row r="59" spans="1:17" ht="15.75">
      <c r="A59" s="46"/>
      <c r="B59" s="46"/>
      <c r="C59" s="46"/>
      <c r="D59" s="46"/>
      <c r="E59" s="46"/>
      <c r="F59" s="46"/>
      <c r="G59" s="46"/>
      <c r="H59" s="69">
        <f>(C60/H52)</f>
        <v>7666.8814704255556</v>
      </c>
      <c r="I59" s="47"/>
      <c r="J59" s="47"/>
      <c r="K59" s="47"/>
      <c r="L59" s="46"/>
      <c r="M59" s="47"/>
      <c r="N59" s="47"/>
      <c r="O59" s="47"/>
      <c r="P59" s="47"/>
      <c r="Q59" s="47"/>
    </row>
    <row r="60" spans="1:17" ht="18.75">
      <c r="A60" s="109" t="s">
        <v>113</v>
      </c>
      <c r="B60" s="109"/>
      <c r="C60" s="46">
        <f>(B35*B56+D56*D35)*C58</f>
        <v>30275</v>
      </c>
      <c r="D60" s="46"/>
      <c r="E60" s="46"/>
      <c r="F60" s="46"/>
      <c r="G60" s="110" t="s">
        <v>123</v>
      </c>
      <c r="H60" s="110"/>
      <c r="I60" s="46"/>
      <c r="J60" s="46"/>
      <c r="K60" s="46"/>
      <c r="L60" s="46"/>
      <c r="M60" s="47" t="s">
        <v>96</v>
      </c>
      <c r="N60" s="50">
        <f>N58/(B56*C58)</f>
        <v>0.21428571428571427</v>
      </c>
      <c r="O60" s="70">
        <f>C27</f>
        <v>0.52799999999999991</v>
      </c>
      <c r="P60" s="110" t="s">
        <v>115</v>
      </c>
      <c r="Q60" s="110"/>
    </row>
    <row r="61" spans="1:17" ht="15.75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7" t="s">
        <v>130</v>
      </c>
      <c r="N61" s="50">
        <f>N58/(D56*C58)</f>
        <v>0.12244897959183673</v>
      </c>
      <c r="O61" s="70">
        <f>D27</f>
        <v>0.13439999999999999</v>
      </c>
      <c r="P61" s="47"/>
      <c r="Q61" s="47"/>
    </row>
    <row r="62" spans="1:17" ht="15.75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7"/>
      <c r="N62" s="47"/>
      <c r="O62" s="47"/>
      <c r="P62" s="47"/>
      <c r="Q62" s="47"/>
    </row>
    <row r="63" spans="1:17" ht="18.75">
      <c r="A63" s="108" t="s">
        <v>111</v>
      </c>
      <c r="B63" s="108"/>
      <c r="C63" s="108"/>
      <c r="D63" s="108"/>
      <c r="E63" s="108"/>
      <c r="F63" s="46"/>
      <c r="G63" s="58"/>
      <c r="H63" s="46"/>
      <c r="I63" s="46"/>
      <c r="J63" s="46"/>
      <c r="K63" s="46"/>
      <c r="L63" s="46"/>
      <c r="M63" s="47"/>
      <c r="N63" s="47" t="s">
        <v>126</v>
      </c>
      <c r="O63" s="56">
        <f>MIN(N60,O60)</f>
        <v>0.21428571428571427</v>
      </c>
      <c r="P63" s="47"/>
      <c r="Q63" s="47"/>
    </row>
    <row r="64" spans="1:17" ht="18.75">
      <c r="A64" s="47" t="s">
        <v>124</v>
      </c>
      <c r="B64" s="47" t="s">
        <v>125</v>
      </c>
      <c r="C64" s="47" t="s">
        <v>112</v>
      </c>
      <c r="D64" s="47" t="s">
        <v>127</v>
      </c>
      <c r="E64" s="47" t="s">
        <v>128</v>
      </c>
      <c r="F64" s="46"/>
      <c r="G64" s="46"/>
      <c r="H64" s="46"/>
      <c r="I64" s="46"/>
      <c r="J64" s="46"/>
      <c r="K64" s="46"/>
      <c r="L64" s="46"/>
      <c r="M64" s="47"/>
      <c r="N64" s="47" t="s">
        <v>129</v>
      </c>
      <c r="O64" s="56">
        <f>MIN(N61,O61)</f>
        <v>0.12244897959183673</v>
      </c>
      <c r="P64" s="47"/>
      <c r="Q64" s="47"/>
    </row>
    <row r="65" spans="1:17" ht="15.75">
      <c r="A65" s="47">
        <v>0.15</v>
      </c>
      <c r="B65" s="47">
        <v>0.04</v>
      </c>
      <c r="C65" s="47">
        <v>30800</v>
      </c>
      <c r="D65" s="47">
        <v>3.0190000000000001</v>
      </c>
      <c r="E65" s="47">
        <v>10200</v>
      </c>
      <c r="F65" s="46"/>
      <c r="G65" s="71"/>
      <c r="H65" s="71"/>
      <c r="I65" s="71"/>
      <c r="J65" s="71"/>
      <c r="K65" s="71"/>
      <c r="L65" s="58"/>
      <c r="M65" s="58"/>
      <c r="N65" s="58"/>
      <c r="O65" s="58"/>
      <c r="P65" s="46"/>
      <c r="Q65" s="46"/>
    </row>
    <row r="66" spans="1:17" ht="15.75">
      <c r="A66" s="47">
        <v>0.16</v>
      </c>
      <c r="B66" s="47">
        <v>0.03</v>
      </c>
      <c r="C66" s="47">
        <v>29750</v>
      </c>
      <c r="D66" s="50">
        <v>3.016</v>
      </c>
      <c r="E66" s="47">
        <v>9862.7999999999993</v>
      </c>
      <c r="F66" s="46"/>
      <c r="G66" s="71"/>
      <c r="H66" s="71"/>
      <c r="I66" s="71"/>
      <c r="J66" s="71"/>
      <c r="K66" s="71"/>
      <c r="L66" s="46"/>
      <c r="M66" s="46"/>
      <c r="N66" s="46"/>
      <c r="O66" s="46"/>
      <c r="P66" s="46"/>
      <c r="Q66" s="46"/>
    </row>
    <row r="67" spans="1:17" ht="15.75">
      <c r="A67" s="50">
        <v>0.14000000000000001</v>
      </c>
      <c r="B67" s="50">
        <v>4.4999999999999998E-2</v>
      </c>
      <c r="C67" s="50">
        <v>30625</v>
      </c>
      <c r="D67" s="50">
        <v>3.016</v>
      </c>
      <c r="E67" s="50">
        <v>10155</v>
      </c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</row>
    <row r="68" spans="1:17" ht="15.75">
      <c r="A68" s="47">
        <v>0.13500000000000001</v>
      </c>
      <c r="B68" s="47">
        <v>4.4999999999999998E-2</v>
      </c>
      <c r="C68" s="47">
        <v>29925</v>
      </c>
      <c r="D68" s="47">
        <v>3.01</v>
      </c>
      <c r="E68" s="47">
        <v>9940.6</v>
      </c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</row>
    <row r="69" spans="1:17" ht="15.75">
      <c r="A69" s="47">
        <v>0.13500000000000001</v>
      </c>
      <c r="B69" s="47">
        <v>4.5199999999999997E-2</v>
      </c>
      <c r="C69" s="47">
        <v>29999</v>
      </c>
      <c r="D69" s="47">
        <v>3.0110000000000001</v>
      </c>
      <c r="E69" s="47">
        <v>9963.7000000000007</v>
      </c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</row>
  </sheetData>
  <mergeCells count="24">
    <mergeCell ref="A20:D20"/>
    <mergeCell ref="A1:E1"/>
    <mergeCell ref="A4:E4"/>
    <mergeCell ref="A9:E9"/>
    <mergeCell ref="H12:I12"/>
    <mergeCell ref="A17:D17"/>
    <mergeCell ref="F52:G52"/>
    <mergeCell ref="M57:N57"/>
    <mergeCell ref="A23:D23"/>
    <mergeCell ref="A26:D26"/>
    <mergeCell ref="A29:D29"/>
    <mergeCell ref="A54:C54"/>
    <mergeCell ref="A33:E33"/>
    <mergeCell ref="A34:E34"/>
    <mergeCell ref="A38:D38"/>
    <mergeCell ref="A41:D41"/>
    <mergeCell ref="A44:D44"/>
    <mergeCell ref="A47:D47"/>
    <mergeCell ref="A50:D50"/>
    <mergeCell ref="A58:B58"/>
    <mergeCell ref="A60:B60"/>
    <mergeCell ref="G60:H60"/>
    <mergeCell ref="P60:Q60"/>
    <mergeCell ref="A63:E6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C7C50-D6F5-4033-8A96-5BB867D828CC}">
  <dimension ref="A1:H7"/>
  <sheetViews>
    <sheetView workbookViewId="0">
      <selection activeCell="E2" sqref="E2"/>
    </sheetView>
  </sheetViews>
  <sheetFormatPr defaultRowHeight="15"/>
  <cols>
    <col min="3" max="3" width="11.140625" customWidth="1"/>
    <col min="4" max="4" width="8.5703125" bestFit="1" customWidth="1"/>
    <col min="5" max="5" width="11.42578125" customWidth="1"/>
    <col min="6" max="6" width="8.42578125" bestFit="1" customWidth="1"/>
    <col min="7" max="8" width="10.5703125" bestFit="1" customWidth="1"/>
  </cols>
  <sheetData>
    <row r="1" spans="1:8">
      <c r="A1" s="9" t="s">
        <v>134</v>
      </c>
      <c r="B1" s="9" t="s">
        <v>135</v>
      </c>
      <c r="C1" s="9" t="s">
        <v>136</v>
      </c>
      <c r="D1" s="9" t="s">
        <v>137</v>
      </c>
      <c r="E1" s="117" t="s">
        <v>138</v>
      </c>
      <c r="F1" s="117"/>
    </row>
    <row r="2" spans="1:8" ht="13.5" customHeight="1">
      <c r="A2" s="9">
        <v>7</v>
      </c>
      <c r="B2" s="9">
        <v>2.2400000000000002</v>
      </c>
      <c r="C2" s="9">
        <v>1.02</v>
      </c>
      <c r="D2" s="9">
        <v>2.61</v>
      </c>
      <c r="E2" s="73">
        <v>20000000</v>
      </c>
    </row>
    <row r="3" spans="1:8" ht="61.5" customHeight="1" thickBot="1">
      <c r="A3" s="74" t="s">
        <v>139</v>
      </c>
      <c r="B3" s="75" t="s">
        <v>140</v>
      </c>
      <c r="C3" s="75" t="s">
        <v>141</v>
      </c>
      <c r="D3" s="75" t="s">
        <v>142</v>
      </c>
      <c r="G3" s="117" t="s">
        <v>143</v>
      </c>
      <c r="H3" s="117"/>
    </row>
    <row r="4" spans="1:8" ht="15.75" thickBot="1">
      <c r="A4" s="20" t="s">
        <v>144</v>
      </c>
      <c r="B4" s="34" t="s">
        <v>145</v>
      </c>
      <c r="C4" s="34" t="s">
        <v>146</v>
      </c>
      <c r="D4" s="34" t="s">
        <v>147</v>
      </c>
      <c r="E4" s="34" t="s">
        <v>148</v>
      </c>
      <c r="F4" s="34" t="s">
        <v>149</v>
      </c>
      <c r="G4" s="34" t="s">
        <v>150</v>
      </c>
      <c r="H4" s="22" t="s">
        <v>151</v>
      </c>
    </row>
    <row r="5" spans="1:8">
      <c r="A5" s="76" t="s">
        <v>152</v>
      </c>
      <c r="B5" s="76" t="s">
        <v>153</v>
      </c>
      <c r="C5" s="77" t="s">
        <v>154</v>
      </c>
      <c r="D5" s="77" t="s">
        <v>155</v>
      </c>
      <c r="E5" s="77" t="s">
        <v>156</v>
      </c>
      <c r="F5" s="77" t="s">
        <v>157</v>
      </c>
      <c r="G5" s="77" t="s">
        <v>158</v>
      </c>
      <c r="H5" s="77" t="s">
        <v>158</v>
      </c>
    </row>
    <row r="6" spans="1:8">
      <c r="A6" s="78">
        <f>100*(1-A2/100)*B2/D2</f>
        <v>79.816091954022994</v>
      </c>
      <c r="B6" s="78">
        <f>100*A2/100*B2/C2</f>
        <v>15.372549019607844</v>
      </c>
      <c r="C6" s="79">
        <f>10.82-1.342*(100-A6)/(A6+B6)</f>
        <v>10.535440788725992</v>
      </c>
      <c r="D6" s="78">
        <f>8+0.00568*A6+0.0002135*A6*A6</f>
        <v>9.8134803244814375</v>
      </c>
      <c r="E6" s="80">
        <f>0.6*LOG10((1.37*B6^2-1)/(1.33*B6-1))</f>
        <v>0.73202995589241282</v>
      </c>
      <c r="F6" s="80">
        <f>0.7582*(C6-D6)</f>
        <v>0.54739042399022153</v>
      </c>
      <c r="G6" s="81">
        <f>10^((F6+E6)*(LOG10(E2)-8)/2+(F6-E6)*ABS(LOG10(E2)-8)/2+D6)</f>
        <v>2003610703.3457136</v>
      </c>
      <c r="H6" s="81">
        <f>10^(D6+F6+2.0959*(C6-D6-F6)*LOG10(E2-9))</f>
        <v>10769148581900.977</v>
      </c>
    </row>
    <row r="7" spans="1:8" ht="25.5">
      <c r="A7" s="74" t="s">
        <v>159</v>
      </c>
      <c r="B7" s="74" t="s">
        <v>160</v>
      </c>
      <c r="C7" s="74" t="s">
        <v>161</v>
      </c>
    </row>
  </sheetData>
  <mergeCells count="2">
    <mergeCell ref="E1:F1"/>
    <mergeCell ref="G3:H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50B1D-1582-416E-9788-83A7D11C436D}">
  <dimension ref="A1:I25"/>
  <sheetViews>
    <sheetView workbookViewId="0">
      <selection activeCell="F1" sqref="F1:G1"/>
    </sheetView>
  </sheetViews>
  <sheetFormatPr defaultRowHeight="15"/>
  <cols>
    <col min="1" max="1" width="22.5703125" bestFit="1" customWidth="1"/>
    <col min="2" max="2" width="20" bestFit="1" customWidth="1"/>
    <col min="3" max="3" width="17.7109375" bestFit="1" customWidth="1"/>
    <col min="4" max="4" width="8.5703125" bestFit="1" customWidth="1"/>
    <col min="5" max="5" width="15.85546875" bestFit="1" customWidth="1"/>
  </cols>
  <sheetData>
    <row r="1" spans="1:7">
      <c r="A1" t="s">
        <v>162</v>
      </c>
      <c r="B1" t="s">
        <v>163</v>
      </c>
      <c r="C1" t="s">
        <v>164</v>
      </c>
      <c r="D1" t="s">
        <v>165</v>
      </c>
      <c r="E1" s="82" t="s">
        <v>166</v>
      </c>
      <c r="F1" s="82" t="s">
        <v>167</v>
      </c>
      <c r="G1" s="82" t="s">
        <v>168</v>
      </c>
    </row>
    <row r="2" spans="1:7">
      <c r="A2">
        <v>2</v>
      </c>
      <c r="B2">
        <v>6</v>
      </c>
      <c r="C2" s="73">
        <v>2.7999999999999998E-4</v>
      </c>
      <c r="D2" s="73">
        <f>B2/C2</f>
        <v>21428.571428571431</v>
      </c>
      <c r="E2">
        <f>B2+3*A2</f>
        <v>12</v>
      </c>
      <c r="F2">
        <f>LOG(D2)</f>
        <v>4.3309932190414244</v>
      </c>
      <c r="G2">
        <f>LOG(E2)</f>
        <v>1.0791812460476249</v>
      </c>
    </row>
    <row r="3" spans="1:7">
      <c r="A3">
        <v>5</v>
      </c>
      <c r="B3">
        <v>15</v>
      </c>
      <c r="C3" s="73">
        <v>7.3999999999999999E-4</v>
      </c>
      <c r="D3" s="73">
        <f t="shared" ref="D3:D6" si="0">B3/C3</f>
        <v>20270.27027027027</v>
      </c>
      <c r="E3">
        <f t="shared" ref="E3:E6" si="1">B3+3*A3</f>
        <v>30</v>
      </c>
      <c r="F3">
        <f t="shared" ref="F3:F6" si="2">LOG(D3)</f>
        <v>4.3068595393247051</v>
      </c>
      <c r="G3">
        <f t="shared" ref="G3:G6" si="3">LOG(E3)</f>
        <v>1.4771212547196624</v>
      </c>
    </row>
    <row r="4" spans="1:7">
      <c r="A4">
        <v>10</v>
      </c>
      <c r="B4">
        <v>30</v>
      </c>
      <c r="C4" s="73">
        <v>9.5E-4</v>
      </c>
      <c r="D4" s="73">
        <f t="shared" si="0"/>
        <v>31578.947368421053</v>
      </c>
      <c r="E4">
        <f t="shared" si="1"/>
        <v>60</v>
      </c>
      <c r="F4">
        <f t="shared" si="2"/>
        <v>4.499397649430815</v>
      </c>
      <c r="G4">
        <f t="shared" si="3"/>
        <v>1.7781512503836436</v>
      </c>
    </row>
    <row r="5" spans="1:7">
      <c r="A5">
        <v>20</v>
      </c>
      <c r="B5">
        <v>60</v>
      </c>
      <c r="C5" s="73">
        <v>1.14E-3</v>
      </c>
      <c r="D5" s="73">
        <f t="shared" si="0"/>
        <v>52631.57894736842</v>
      </c>
      <c r="E5">
        <f t="shared" si="1"/>
        <v>120</v>
      </c>
      <c r="F5">
        <f t="shared" si="2"/>
        <v>4.7212463990471711</v>
      </c>
      <c r="G5">
        <f t="shared" si="3"/>
        <v>2.0791812460476247</v>
      </c>
    </row>
    <row r="6" spans="1:7">
      <c r="A6">
        <v>2</v>
      </c>
      <c r="B6">
        <v>6</v>
      </c>
      <c r="C6" s="73">
        <v>5.9999999999999995E-4</v>
      </c>
      <c r="D6" s="73">
        <f t="shared" si="0"/>
        <v>10000</v>
      </c>
      <c r="E6">
        <f t="shared" si="1"/>
        <v>12</v>
      </c>
      <c r="F6">
        <f t="shared" si="2"/>
        <v>4</v>
      </c>
      <c r="G6">
        <f t="shared" si="3"/>
        <v>1.0791812460476249</v>
      </c>
    </row>
    <row r="8" spans="1:7">
      <c r="A8" t="s">
        <v>19</v>
      </c>
    </row>
    <row r="9" spans="1:7" ht="15.75" thickBot="1"/>
    <row r="10" spans="1:7">
      <c r="A10" s="8" t="s">
        <v>20</v>
      </c>
      <c r="B10" s="8"/>
    </row>
    <row r="11" spans="1:7">
      <c r="A11" s="5" t="s">
        <v>21</v>
      </c>
      <c r="B11" s="5">
        <v>0.88693589131107287</v>
      </c>
    </row>
    <row r="12" spans="1:7">
      <c r="A12" s="5" t="s">
        <v>22</v>
      </c>
      <c r="B12" s="5">
        <v>0.78665527529576729</v>
      </c>
    </row>
    <row r="13" spans="1:7">
      <c r="A13" s="5" t="s">
        <v>23</v>
      </c>
      <c r="B13" s="5">
        <v>0.71554036706102309</v>
      </c>
    </row>
    <row r="14" spans="1:7">
      <c r="A14" s="5" t="s">
        <v>24</v>
      </c>
      <c r="B14" s="5">
        <v>0.14174196960768068</v>
      </c>
    </row>
    <row r="15" spans="1:7" ht="15.75" thickBot="1">
      <c r="A15" s="6" t="s">
        <v>25</v>
      </c>
      <c r="B15" s="6">
        <v>5</v>
      </c>
    </row>
    <row r="17" spans="1:9" ht="15.75" thickBot="1">
      <c r="A17" t="s">
        <v>26</v>
      </c>
    </row>
    <row r="18" spans="1:9">
      <c r="A18" s="7"/>
      <c r="B18" s="7" t="s">
        <v>31</v>
      </c>
      <c r="C18" s="7" t="s">
        <v>32</v>
      </c>
      <c r="D18" s="7" t="s">
        <v>33</v>
      </c>
      <c r="E18" s="7" t="s">
        <v>34</v>
      </c>
      <c r="F18" s="7" t="s">
        <v>35</v>
      </c>
    </row>
    <row r="19" spans="1:9">
      <c r="A19" s="5" t="s">
        <v>27</v>
      </c>
      <c r="B19" s="5">
        <v>1</v>
      </c>
      <c r="C19" s="5">
        <v>0.22223923426676018</v>
      </c>
      <c r="D19" s="5">
        <v>0.22223923426676018</v>
      </c>
      <c r="E19" s="5">
        <v>11.061749144062528</v>
      </c>
      <c r="F19" s="5">
        <v>4.485542800544029E-2</v>
      </c>
    </row>
    <row r="20" spans="1:9">
      <c r="A20" s="5" t="s">
        <v>28</v>
      </c>
      <c r="B20" s="5">
        <v>3</v>
      </c>
      <c r="C20" s="5">
        <v>6.0272357844794011E-2</v>
      </c>
      <c r="D20" s="5">
        <v>2.0090785948264672E-2</v>
      </c>
      <c r="E20" s="5"/>
      <c r="F20" s="5"/>
    </row>
    <row r="21" spans="1:9" ht="15.75" thickBot="1">
      <c r="A21" s="6" t="s">
        <v>29</v>
      </c>
      <c r="B21" s="6">
        <v>4</v>
      </c>
      <c r="C21" s="6">
        <v>0.28251159211155419</v>
      </c>
      <c r="D21" s="6"/>
      <c r="E21" s="6"/>
      <c r="F21" s="6"/>
    </row>
    <row r="22" spans="1:9" ht="15.75" thickBot="1"/>
    <row r="23" spans="1:9">
      <c r="A23" s="7"/>
      <c r="B23" s="7" t="s">
        <v>36</v>
      </c>
      <c r="C23" s="7" t="s">
        <v>24</v>
      </c>
      <c r="D23" s="7" t="s">
        <v>37</v>
      </c>
      <c r="E23" s="7" t="s">
        <v>38</v>
      </c>
      <c r="F23" s="7" t="s">
        <v>39</v>
      </c>
      <c r="G23" s="7" t="s">
        <v>40</v>
      </c>
      <c r="H23" s="7" t="s">
        <v>41</v>
      </c>
      <c r="I23" s="7" t="s">
        <v>42</v>
      </c>
    </row>
    <row r="24" spans="1:9">
      <c r="A24" s="5" t="s">
        <v>30</v>
      </c>
      <c r="B24" s="5">
        <v>3.5653120117737611</v>
      </c>
      <c r="C24" s="5">
        <v>0.25060479346981646</v>
      </c>
      <c r="D24" s="5">
        <v>14.226830869470888</v>
      </c>
      <c r="E24" s="5">
        <v>7.5244576235692479E-4</v>
      </c>
      <c r="F24" s="5">
        <v>2.7677757127093567</v>
      </c>
      <c r="G24" s="5">
        <v>4.3628483108381655</v>
      </c>
      <c r="H24" s="5">
        <v>2.7677757127093567</v>
      </c>
      <c r="I24" s="5">
        <v>4.3628483108381655</v>
      </c>
    </row>
    <row r="25" spans="1:9" ht="15.75" thickBot="1">
      <c r="A25" s="6" t="s">
        <v>43</v>
      </c>
      <c r="B25" s="6">
        <v>0.53810698368715337</v>
      </c>
      <c r="C25" s="6">
        <v>0.16179188159449967</v>
      </c>
      <c r="D25" s="6">
        <v>3.3259207964205233</v>
      </c>
      <c r="E25" s="6">
        <v>4.485542800544029E-2</v>
      </c>
      <c r="F25" s="6">
        <v>2.3213007881838554E-2</v>
      </c>
      <c r="G25" s="6">
        <v>1.0530009594924681</v>
      </c>
      <c r="H25" s="6">
        <v>2.3213007881838554E-2</v>
      </c>
      <c r="I25" s="6">
        <v>1.0530009594924681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355D4-4778-4A18-8898-7303027FB620}">
  <dimension ref="A1:E7"/>
  <sheetViews>
    <sheetView workbookViewId="0">
      <selection activeCell="A2" sqref="A2:E7"/>
    </sheetView>
  </sheetViews>
  <sheetFormatPr defaultRowHeight="15"/>
  <cols>
    <col min="1" max="1" width="20" bestFit="1" customWidth="1"/>
    <col min="2" max="2" width="17.7109375" bestFit="1" customWidth="1"/>
    <col min="5" max="5" width="10.7109375" bestFit="1" customWidth="1"/>
  </cols>
  <sheetData>
    <row r="1" spans="1:5">
      <c r="A1" t="s">
        <v>163</v>
      </c>
      <c r="B1" t="s">
        <v>164</v>
      </c>
      <c r="C1" t="s">
        <v>165</v>
      </c>
      <c r="D1" s="82" t="s">
        <v>167</v>
      </c>
      <c r="E1" s="82" t="s">
        <v>169</v>
      </c>
    </row>
    <row r="2" spans="1:5">
      <c r="A2" s="72">
        <v>2</v>
      </c>
      <c r="B2" s="84">
        <v>1.4100000000000001E-4</v>
      </c>
      <c r="C2" s="84">
        <f>A2/B2</f>
        <v>14184.397163120566</v>
      </c>
      <c r="D2" s="72">
        <f>LOG(C2)</f>
        <v>4.1518108830086016</v>
      </c>
      <c r="E2" s="72">
        <f>LOG(A2)</f>
        <v>0.3010299956639812</v>
      </c>
    </row>
    <row r="3" spans="1:5">
      <c r="A3" s="72">
        <v>4</v>
      </c>
      <c r="B3" s="84">
        <v>3.2000000000000003E-4</v>
      </c>
      <c r="C3" s="84">
        <f t="shared" ref="C3:C7" si="0">A3/B3</f>
        <v>12499.999999999998</v>
      </c>
      <c r="D3" s="72">
        <f t="shared" ref="D3:D7" si="1">LOG(C3)</f>
        <v>4.0969100130080562</v>
      </c>
      <c r="E3" s="72">
        <f t="shared" ref="E3:E7" si="2">LOG(A3)</f>
        <v>0.6020599913279624</v>
      </c>
    </row>
    <row r="4" spans="1:5">
      <c r="A4" s="72">
        <v>7</v>
      </c>
      <c r="B4" s="84">
        <v>7.6099999999999996E-4</v>
      </c>
      <c r="C4" s="84">
        <f t="shared" si="0"/>
        <v>9198.4231274638641</v>
      </c>
      <c r="D4" s="72">
        <f t="shared" si="1"/>
        <v>3.9637133832436842</v>
      </c>
      <c r="E4" s="72">
        <f t="shared" si="2"/>
        <v>0.84509804001425681</v>
      </c>
    </row>
    <row r="5" spans="1:5">
      <c r="A5" s="72">
        <v>14</v>
      </c>
      <c r="B5" s="84">
        <v>1.89E-3</v>
      </c>
      <c r="C5" s="84">
        <f t="shared" si="0"/>
        <v>7407.4074074074078</v>
      </c>
      <c r="D5" s="72">
        <f t="shared" si="1"/>
        <v>3.8696662315049939</v>
      </c>
      <c r="E5" s="72">
        <f t="shared" si="2"/>
        <v>1.146128035678238</v>
      </c>
    </row>
    <row r="6" spans="1:5">
      <c r="A6" s="72">
        <v>20</v>
      </c>
      <c r="B6" s="84">
        <v>3.032E-3</v>
      </c>
      <c r="C6" s="84">
        <f t="shared" si="0"/>
        <v>6596.3060686015833</v>
      </c>
      <c r="D6" s="72">
        <f t="shared" si="1"/>
        <v>3.8193007987039653</v>
      </c>
      <c r="E6" s="72">
        <f t="shared" si="2"/>
        <v>1.3010299956639813</v>
      </c>
    </row>
    <row r="7" spans="1:5">
      <c r="A7" s="72">
        <v>28</v>
      </c>
      <c r="B7" s="84">
        <v>5.1809999999999998E-3</v>
      </c>
      <c r="C7" s="84">
        <f t="shared" si="0"/>
        <v>5404.3620922601813</v>
      </c>
      <c r="D7" s="72">
        <f t="shared" si="1"/>
        <v>3.7327444390550979</v>
      </c>
      <c r="E7" s="72">
        <f t="shared" si="2"/>
        <v>1.4471580313422192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091F4-7041-4791-B90C-3DA017042953}">
  <dimension ref="A1:N21"/>
  <sheetViews>
    <sheetView workbookViewId="0">
      <selection activeCell="A2" sqref="A2:D10"/>
    </sheetView>
  </sheetViews>
  <sheetFormatPr defaultRowHeight="15"/>
  <cols>
    <col min="2" max="2" width="13.85546875" bestFit="1" customWidth="1"/>
    <col min="3" max="3" width="19" bestFit="1" customWidth="1"/>
  </cols>
  <sheetData>
    <row r="1" spans="1:14">
      <c r="A1" t="s">
        <v>170</v>
      </c>
      <c r="B1" t="s">
        <v>181</v>
      </c>
      <c r="C1" t="s">
        <v>171</v>
      </c>
      <c r="D1" t="s">
        <v>172</v>
      </c>
      <c r="F1" t="s">
        <v>19</v>
      </c>
    </row>
    <row r="2" spans="1:14" ht="15.75" thickBot="1">
      <c r="A2" s="72">
        <v>1</v>
      </c>
      <c r="B2" s="72">
        <v>278</v>
      </c>
      <c r="C2" s="84">
        <v>100000</v>
      </c>
      <c r="D2" s="72">
        <f>LOG(C2)</f>
        <v>5</v>
      </c>
    </row>
    <row r="3" spans="1:14">
      <c r="A3" s="72">
        <v>2</v>
      </c>
      <c r="B3" s="72">
        <v>254</v>
      </c>
      <c r="C3" s="84">
        <v>114000</v>
      </c>
      <c r="D3" s="72">
        <f t="shared" ref="D3:D10" si="0">LOG(C3)</f>
        <v>5.0569048513364727</v>
      </c>
      <c r="F3" s="8" t="s">
        <v>20</v>
      </c>
      <c r="G3" s="8"/>
    </row>
    <row r="4" spans="1:14">
      <c r="A4" s="72">
        <v>3</v>
      </c>
      <c r="B4" s="72">
        <v>228</v>
      </c>
      <c r="C4" s="84">
        <v>115000</v>
      </c>
      <c r="D4" s="72">
        <f t="shared" si="0"/>
        <v>5.0606978403536118</v>
      </c>
      <c r="F4" s="5" t="s">
        <v>21</v>
      </c>
      <c r="G4" s="5">
        <v>0.93482235293563676</v>
      </c>
    </row>
    <row r="5" spans="1:14">
      <c r="A5" s="72">
        <v>4</v>
      </c>
      <c r="B5" s="72">
        <v>197</v>
      </c>
      <c r="C5" s="84">
        <v>134000</v>
      </c>
      <c r="D5" s="72">
        <f t="shared" si="0"/>
        <v>5.1271047983648073</v>
      </c>
      <c r="F5" s="5" t="s">
        <v>22</v>
      </c>
      <c r="G5" s="5">
        <v>0.87389283154812014</v>
      </c>
    </row>
    <row r="6" spans="1:14">
      <c r="A6" s="72">
        <v>5</v>
      </c>
      <c r="B6" s="72">
        <v>185</v>
      </c>
      <c r="C6" s="84">
        <v>160000</v>
      </c>
      <c r="D6" s="72">
        <f t="shared" si="0"/>
        <v>5.204119982655925</v>
      </c>
      <c r="F6" s="5" t="s">
        <v>23</v>
      </c>
      <c r="G6" s="5">
        <v>0.85587752176928011</v>
      </c>
    </row>
    <row r="7" spans="1:14">
      <c r="A7" s="72">
        <v>6</v>
      </c>
      <c r="B7" s="72">
        <v>165</v>
      </c>
      <c r="C7" s="84">
        <v>287000</v>
      </c>
      <c r="D7" s="72">
        <f t="shared" si="0"/>
        <v>5.4578818967339924</v>
      </c>
      <c r="F7" s="5" t="s">
        <v>24</v>
      </c>
      <c r="G7" s="5">
        <v>7.4041962553958077E-2</v>
      </c>
    </row>
    <row r="8" spans="1:14" ht="15.75" thickBot="1">
      <c r="A8" s="72">
        <v>7</v>
      </c>
      <c r="B8" s="72">
        <v>137</v>
      </c>
      <c r="C8" s="84">
        <v>222000</v>
      </c>
      <c r="D8" s="72">
        <f t="shared" si="0"/>
        <v>5.3463529744506388</v>
      </c>
      <c r="F8" s="6" t="s">
        <v>25</v>
      </c>
      <c r="G8" s="6">
        <v>9</v>
      </c>
    </row>
    <row r="9" spans="1:14">
      <c r="A9" s="72">
        <v>8</v>
      </c>
      <c r="B9" s="72">
        <v>115</v>
      </c>
      <c r="C9" s="84">
        <v>278000</v>
      </c>
      <c r="D9" s="72">
        <f t="shared" si="0"/>
        <v>5.4440447959180762</v>
      </c>
    </row>
    <row r="10" spans="1:14" ht="15.75" thickBot="1">
      <c r="A10" s="72">
        <v>9</v>
      </c>
      <c r="B10" s="72">
        <v>91</v>
      </c>
      <c r="C10" s="84">
        <v>315000</v>
      </c>
      <c r="D10" s="72">
        <f t="shared" si="0"/>
        <v>5.4983105537896009</v>
      </c>
      <c r="F10" t="s">
        <v>26</v>
      </c>
    </row>
    <row r="11" spans="1:14">
      <c r="F11" s="7"/>
      <c r="G11" s="7" t="s">
        <v>31</v>
      </c>
      <c r="H11" s="7" t="s">
        <v>32</v>
      </c>
      <c r="I11" s="7" t="s">
        <v>33</v>
      </c>
      <c r="J11" s="7" t="s">
        <v>34</v>
      </c>
      <c r="K11" s="7" t="s">
        <v>35</v>
      </c>
    </row>
    <row r="12" spans="1:14">
      <c r="F12" s="5" t="s">
        <v>27</v>
      </c>
      <c r="G12" s="5">
        <v>1</v>
      </c>
      <c r="H12" s="5">
        <v>0.26593303239772509</v>
      </c>
      <c r="I12" s="5">
        <v>0.26593303239772509</v>
      </c>
      <c r="J12" s="5">
        <v>48.508343307788046</v>
      </c>
      <c r="K12" s="5">
        <v>2.1829121985982811E-4</v>
      </c>
    </row>
    <row r="13" spans="1:14">
      <c r="F13" s="5" t="s">
        <v>28</v>
      </c>
      <c r="G13" s="5">
        <v>7</v>
      </c>
      <c r="H13" s="5">
        <v>3.8375485531892108E-2</v>
      </c>
      <c r="I13" s="5">
        <v>5.4822122188417297E-3</v>
      </c>
      <c r="J13" s="5"/>
      <c r="K13" s="5"/>
    </row>
    <row r="14" spans="1:14" ht="15.75" thickBot="1">
      <c r="F14" s="6" t="s">
        <v>29</v>
      </c>
      <c r="G14" s="6">
        <v>8</v>
      </c>
      <c r="H14" s="6">
        <v>0.30430851792961722</v>
      </c>
      <c r="I14" s="6"/>
      <c r="J14" s="6"/>
      <c r="K14" s="6"/>
    </row>
    <row r="15" spans="1:14" ht="15.75" thickBot="1"/>
    <row r="16" spans="1:14">
      <c r="F16" s="7"/>
      <c r="G16" s="7" t="s">
        <v>36</v>
      </c>
      <c r="H16" s="7" t="s">
        <v>24</v>
      </c>
      <c r="I16" s="7" t="s">
        <v>37</v>
      </c>
      <c r="J16" s="7" t="s">
        <v>38</v>
      </c>
      <c r="K16" s="7" t="s">
        <v>39</v>
      </c>
      <c r="L16" s="7" t="s">
        <v>40</v>
      </c>
      <c r="M16" s="7" t="s">
        <v>41</v>
      </c>
      <c r="N16" s="7" t="s">
        <v>42</v>
      </c>
    </row>
    <row r="17" spans="6:14">
      <c r="F17" s="5" t="s">
        <v>30</v>
      </c>
      <c r="G17" s="5">
        <v>5.7739539338400476</v>
      </c>
      <c r="H17" s="5">
        <v>8.0001864414258078E-2</v>
      </c>
      <c r="I17" s="5">
        <v>72.17274217438117</v>
      </c>
      <c r="J17" s="5">
        <v>2.5783876936025915E-11</v>
      </c>
      <c r="K17" s="5">
        <v>5.5847795850734556</v>
      </c>
      <c r="L17" s="5">
        <v>5.9631282826066396</v>
      </c>
      <c r="M17" s="5">
        <v>5.5847795850734556</v>
      </c>
      <c r="N17" s="5">
        <v>5.9631282826066396</v>
      </c>
    </row>
    <row r="18" spans="6:14" ht="15.75" thickBot="1">
      <c r="F18" s="6" t="s">
        <v>43</v>
      </c>
      <c r="G18" s="6">
        <v>-2.8910107339135136E-3</v>
      </c>
      <c r="H18" s="6">
        <v>4.1508924687667134E-4</v>
      </c>
      <c r="I18" s="6">
        <v>-6.9647931274222392</v>
      </c>
      <c r="J18" s="6">
        <v>2.1829121985982811E-4</v>
      </c>
      <c r="K18" s="6">
        <v>-3.8725408336534751E-3</v>
      </c>
      <c r="L18" s="6">
        <v>-1.9094806341735519E-3</v>
      </c>
      <c r="M18" s="6">
        <v>-3.8725408336534751E-3</v>
      </c>
      <c r="N18" s="6">
        <v>-1.9094806341735519E-3</v>
      </c>
    </row>
    <row r="21" spans="6:14">
      <c r="F21" t="s">
        <v>173</v>
      </c>
      <c r="G21">
        <f>10^G17</f>
        <v>594229.12464464852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39212-12E1-4837-B34E-85B8A768CD0B}">
  <dimension ref="A1:N20"/>
  <sheetViews>
    <sheetView workbookViewId="0">
      <selection activeCell="E15" sqref="E15"/>
    </sheetView>
  </sheetViews>
  <sheetFormatPr defaultRowHeight="15"/>
  <cols>
    <col min="1" max="1" width="13.85546875" bestFit="1" customWidth="1"/>
    <col min="3" max="3" width="21.5703125" bestFit="1" customWidth="1"/>
    <col min="4" max="4" width="14" bestFit="1" customWidth="1"/>
    <col min="7" max="7" width="12" bestFit="1" customWidth="1"/>
  </cols>
  <sheetData>
    <row r="1" spans="1:14">
      <c r="A1" t="s">
        <v>174</v>
      </c>
      <c r="B1" t="s">
        <v>175</v>
      </c>
      <c r="C1" t="s">
        <v>177</v>
      </c>
      <c r="D1" t="s">
        <v>176</v>
      </c>
      <c r="F1" t="s">
        <v>19</v>
      </c>
    </row>
    <row r="2" spans="1:14" ht="15.75" thickBot="1">
      <c r="A2">
        <v>0.1</v>
      </c>
      <c r="B2" s="73">
        <v>1.1579999999999999E-5</v>
      </c>
      <c r="C2">
        <f>LOG(A2)</f>
        <v>-1</v>
      </c>
      <c r="D2" s="83">
        <f>LOG(B2)</f>
        <v>-4.9362914406085823</v>
      </c>
    </row>
    <row r="3" spans="1:14">
      <c r="A3">
        <v>1</v>
      </c>
      <c r="B3" s="73">
        <v>3.4740000000000003E-5</v>
      </c>
      <c r="C3">
        <f t="shared" ref="C3:C6" si="0">LOG(A3)</f>
        <v>0</v>
      </c>
      <c r="D3" s="83">
        <f t="shared" ref="D3:D6" si="1">LOG(B3)</f>
        <v>-4.4591701858889206</v>
      </c>
      <c r="F3" s="8" t="s">
        <v>20</v>
      </c>
      <c r="G3" s="8"/>
    </row>
    <row r="4" spans="1:14">
      <c r="A4">
        <v>10</v>
      </c>
      <c r="B4" s="73">
        <v>1.1533E-4</v>
      </c>
      <c r="C4">
        <f t="shared" si="0"/>
        <v>1</v>
      </c>
      <c r="D4" s="83">
        <f t="shared" si="1"/>
        <v>-3.9380577079719137</v>
      </c>
      <c r="F4" s="5" t="s">
        <v>21</v>
      </c>
      <c r="G4" s="5">
        <v>0.99568583573038771</v>
      </c>
    </row>
    <row r="5" spans="1:14">
      <c r="A5">
        <v>100</v>
      </c>
      <c r="B5" s="73">
        <v>3.1171999999999998E-4</v>
      </c>
      <c r="C5">
        <f t="shared" si="0"/>
        <v>2</v>
      </c>
      <c r="D5" s="83">
        <f t="shared" si="1"/>
        <v>-3.5062353324328548</v>
      </c>
      <c r="F5" s="5" t="s">
        <v>22</v>
      </c>
      <c r="G5" s="5">
        <v>0.99139028347412073</v>
      </c>
    </row>
    <row r="6" spans="1:14">
      <c r="A6">
        <v>1000</v>
      </c>
      <c r="B6" s="73">
        <v>6.2483000000000005E-4</v>
      </c>
      <c r="C6">
        <f t="shared" si="0"/>
        <v>3</v>
      </c>
      <c r="D6" s="83">
        <f t="shared" si="1"/>
        <v>-3.2042381268233378</v>
      </c>
      <c r="F6" s="5" t="s">
        <v>23</v>
      </c>
      <c r="G6" s="5">
        <v>0.9885203779654943</v>
      </c>
    </row>
    <row r="7" spans="1:14">
      <c r="F7" s="5" t="s">
        <v>24</v>
      </c>
      <c r="G7" s="5">
        <v>7.5152416142782313E-2</v>
      </c>
    </row>
    <row r="8" spans="1:14" ht="15.75" thickBot="1">
      <c r="F8" s="6" t="s">
        <v>25</v>
      </c>
      <c r="G8" s="6">
        <v>5</v>
      </c>
    </row>
    <row r="10" spans="1:14" ht="15.75" thickBot="1">
      <c r="F10" t="s">
        <v>26</v>
      </c>
    </row>
    <row r="11" spans="1:14">
      <c r="F11" s="7"/>
      <c r="G11" s="7" t="s">
        <v>31</v>
      </c>
      <c r="H11" s="7" t="s">
        <v>32</v>
      </c>
      <c r="I11" s="7" t="s">
        <v>33</v>
      </c>
      <c r="J11" s="7" t="s">
        <v>34</v>
      </c>
      <c r="K11" s="7" t="s">
        <v>35</v>
      </c>
    </row>
    <row r="12" spans="1:14">
      <c r="F12" s="5" t="s">
        <v>27</v>
      </c>
      <c r="G12" s="5">
        <v>1</v>
      </c>
      <c r="H12" s="5">
        <v>1.9510255445109259</v>
      </c>
      <c r="I12" s="5">
        <v>1.9510255445109259</v>
      </c>
      <c r="J12" s="5">
        <v>345.44352784235468</v>
      </c>
      <c r="K12" s="5">
        <v>3.3993636945398964E-4</v>
      </c>
    </row>
    <row r="13" spans="1:14">
      <c r="F13" s="5" t="s">
        <v>28</v>
      </c>
      <c r="G13" s="5">
        <v>3</v>
      </c>
      <c r="H13" s="5">
        <v>1.6943656956293782E-2</v>
      </c>
      <c r="I13" s="5">
        <v>5.6478856520979269E-3</v>
      </c>
      <c r="J13" s="5"/>
      <c r="K13" s="5"/>
    </row>
    <row r="14" spans="1:14" ht="15.75" thickBot="1">
      <c r="F14" s="6" t="s">
        <v>29</v>
      </c>
      <c r="G14" s="6">
        <v>4</v>
      </c>
      <c r="H14" s="6">
        <v>1.9679692014672197</v>
      </c>
      <c r="I14" s="6"/>
      <c r="J14" s="6"/>
      <c r="K14" s="6"/>
    </row>
    <row r="15" spans="1:14" ht="15.75" thickBot="1"/>
    <row r="16" spans="1:14">
      <c r="F16" s="7"/>
      <c r="G16" s="7" t="s">
        <v>36</v>
      </c>
      <c r="H16" s="7" t="s">
        <v>24</v>
      </c>
      <c r="I16" s="7" t="s">
        <v>37</v>
      </c>
      <c r="J16" s="7" t="s">
        <v>38</v>
      </c>
      <c r="K16" s="7" t="s">
        <v>39</v>
      </c>
      <c r="L16" s="7" t="s">
        <v>40</v>
      </c>
      <c r="M16" s="7" t="s">
        <v>41</v>
      </c>
      <c r="N16" s="7" t="s">
        <v>42</v>
      </c>
    </row>
    <row r="17" spans="6:14">
      <c r="F17" s="5" t="s">
        <v>30</v>
      </c>
      <c r="G17" s="5">
        <v>-4.4505027068477769</v>
      </c>
      <c r="H17" s="5">
        <v>4.1162673572417256E-2</v>
      </c>
      <c r="I17" s="5">
        <v>-108.11986493098007</v>
      </c>
      <c r="J17" s="5">
        <v>1.7442974032521498E-6</v>
      </c>
      <c r="K17" s="5">
        <v>-4.5815007052739158</v>
      </c>
      <c r="L17" s="5">
        <v>-4.319504708421638</v>
      </c>
      <c r="M17" s="5">
        <v>-4.5815007052739158</v>
      </c>
      <c r="N17" s="5">
        <v>-4.319504708421638</v>
      </c>
    </row>
    <row r="18" spans="6:14" ht="15.75" thickBot="1">
      <c r="F18" s="6" t="s">
        <v>43</v>
      </c>
      <c r="G18" s="6">
        <v>0.44170414810265535</v>
      </c>
      <c r="H18" s="6">
        <v>2.3765280667599802E-2</v>
      </c>
      <c r="I18" s="6">
        <v>18.586111154363476</v>
      </c>
      <c r="J18" s="6">
        <v>3.3993636945399023E-4</v>
      </c>
      <c r="K18" s="6">
        <v>0.36607241844802202</v>
      </c>
      <c r="L18" s="6">
        <v>0.51733587775728873</v>
      </c>
      <c r="M18" s="6">
        <v>0.36607241844802202</v>
      </c>
      <c r="N18" s="6">
        <v>0.51733587775728873</v>
      </c>
    </row>
    <row r="20" spans="6:14">
      <c r="G20">
        <f>10^G17</f>
        <v>3.5440292137024322E-5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8C92D-BEB4-4B31-A5C5-7D6E8D0004E7}">
  <dimension ref="A1:N20"/>
  <sheetViews>
    <sheetView workbookViewId="0">
      <selection activeCell="G21" sqref="G21"/>
    </sheetView>
  </sheetViews>
  <sheetFormatPr defaultRowHeight="15"/>
  <cols>
    <col min="4" max="4" width="11.7109375" bestFit="1" customWidth="1"/>
    <col min="7" max="7" width="12" bestFit="1" customWidth="1"/>
  </cols>
  <sheetData>
    <row r="1" spans="1:14">
      <c r="A1" t="s">
        <v>178</v>
      </c>
      <c r="B1" t="s">
        <v>175</v>
      </c>
      <c r="C1" t="s">
        <v>179</v>
      </c>
      <c r="D1" t="s">
        <v>180</v>
      </c>
      <c r="F1" t="s">
        <v>19</v>
      </c>
    </row>
    <row r="2" spans="1:14" ht="15.75" thickBot="1">
      <c r="A2">
        <v>1</v>
      </c>
      <c r="B2" s="73">
        <v>2.3600000000000001E-5</v>
      </c>
      <c r="C2">
        <f>LOG(A2)</f>
        <v>0</v>
      </c>
      <c r="D2" s="43">
        <f>LOG(B2)</f>
        <v>-4.6270879970298937</v>
      </c>
    </row>
    <row r="3" spans="1:14">
      <c r="A3">
        <v>10</v>
      </c>
      <c r="B3" s="73">
        <v>5.8310000000000002E-5</v>
      </c>
      <c r="C3">
        <f t="shared" ref="C3:C8" si="0">LOG(A3)</f>
        <v>1</v>
      </c>
      <c r="D3" s="43">
        <f t="shared" ref="D3:D8" si="1">LOG(B3)</f>
        <v>-4.2342569585789551</v>
      </c>
      <c r="F3" s="8" t="s">
        <v>20</v>
      </c>
      <c r="G3" s="8"/>
    </row>
    <row r="4" spans="1:14">
      <c r="A4">
        <v>100</v>
      </c>
      <c r="B4" s="73">
        <v>1.2773E-4</v>
      </c>
      <c r="C4">
        <f t="shared" si="0"/>
        <v>2</v>
      </c>
      <c r="D4" s="43">
        <f t="shared" si="1"/>
        <v>-3.8937070878243425</v>
      </c>
      <c r="F4" s="5" t="s">
        <v>21</v>
      </c>
      <c r="G4" s="5">
        <v>0.99423182986870362</v>
      </c>
    </row>
    <row r="5" spans="1:14">
      <c r="A5">
        <v>200</v>
      </c>
      <c r="B5" s="73">
        <v>1.393E-4</v>
      </c>
      <c r="C5">
        <f t="shared" si="0"/>
        <v>2.3010299956639813</v>
      </c>
      <c r="D5" s="43">
        <f t="shared" si="1"/>
        <v>-3.8560488835760367</v>
      </c>
      <c r="F5" s="5" t="s">
        <v>22</v>
      </c>
      <c r="G5" s="5">
        <v>0.98849693152407092</v>
      </c>
    </row>
    <row r="6" spans="1:14">
      <c r="A6">
        <v>1000</v>
      </c>
      <c r="B6" s="73">
        <v>1.9714999999999999E-4</v>
      </c>
      <c r="C6">
        <f t="shared" si="0"/>
        <v>3</v>
      </c>
      <c r="D6" s="43">
        <f t="shared" si="1"/>
        <v>-3.705203218590758</v>
      </c>
      <c r="F6" s="5" t="s">
        <v>23</v>
      </c>
      <c r="G6" s="5">
        <v>0.98619631782888517</v>
      </c>
    </row>
    <row r="7" spans="1:14">
      <c r="A7">
        <v>10000</v>
      </c>
      <c r="B7" s="73">
        <v>3.6280999999999998E-4</v>
      </c>
      <c r="C7">
        <f t="shared" si="0"/>
        <v>4</v>
      </c>
      <c r="D7" s="43">
        <f t="shared" si="1"/>
        <v>-3.4403207511462122</v>
      </c>
      <c r="F7" s="5" t="s">
        <v>24</v>
      </c>
      <c r="G7" s="5">
        <v>5.7854242308198162E-2</v>
      </c>
    </row>
    <row r="8" spans="1:14" ht="15.75" thickBot="1">
      <c r="A8">
        <v>100000</v>
      </c>
      <c r="B8" s="73">
        <v>7.3506000000000005E-4</v>
      </c>
      <c r="C8">
        <f t="shared" si="0"/>
        <v>5</v>
      </c>
      <c r="D8" s="43">
        <f t="shared" si="1"/>
        <v>-3.1336772097520043</v>
      </c>
      <c r="F8" s="6" t="s">
        <v>25</v>
      </c>
      <c r="G8" s="6">
        <v>7</v>
      </c>
    </row>
    <row r="9" spans="1:14">
      <c r="D9" s="43"/>
    </row>
    <row r="10" spans="1:14" ht="15.75" thickBot="1">
      <c r="F10" t="s">
        <v>26</v>
      </c>
    </row>
    <row r="11" spans="1:14">
      <c r="F11" s="7"/>
      <c r="G11" s="7" t="s">
        <v>31</v>
      </c>
      <c r="H11" s="7" t="s">
        <v>32</v>
      </c>
      <c r="I11" s="7" t="s">
        <v>33</v>
      </c>
      <c r="J11" s="7" t="s">
        <v>34</v>
      </c>
      <c r="K11" s="7" t="s">
        <v>35</v>
      </c>
    </row>
    <row r="12" spans="1:14">
      <c r="F12" s="5" t="s">
        <v>27</v>
      </c>
      <c r="G12" s="5">
        <v>1</v>
      </c>
      <c r="H12" s="5">
        <v>1.4381429119900786</v>
      </c>
      <c r="I12" s="5">
        <v>1.4381429119900786</v>
      </c>
      <c r="J12" s="5">
        <v>429.66662920965723</v>
      </c>
      <c r="K12" s="5">
        <v>4.8384433591480601E-6</v>
      </c>
    </row>
    <row r="13" spans="1:14">
      <c r="F13" s="5" t="s">
        <v>28</v>
      </c>
      <c r="G13" s="5">
        <v>5</v>
      </c>
      <c r="H13" s="5">
        <v>1.6735566765278532E-2</v>
      </c>
      <c r="I13" s="5">
        <v>3.3471133530557063E-3</v>
      </c>
      <c r="J13" s="5"/>
      <c r="K13" s="5"/>
    </row>
    <row r="14" spans="1:14" ht="15.75" thickBot="1">
      <c r="F14" s="6" t="s">
        <v>29</v>
      </c>
      <c r="G14" s="6">
        <v>6</v>
      </c>
      <c r="H14" s="6">
        <v>1.454878478755357</v>
      </c>
      <c r="I14" s="6"/>
      <c r="J14" s="6"/>
      <c r="K14" s="6"/>
    </row>
    <row r="15" spans="1:14" ht="15.75" thickBot="1"/>
    <row r="16" spans="1:14">
      <c r="F16" s="7"/>
      <c r="G16" s="7" t="s">
        <v>36</v>
      </c>
      <c r="H16" s="7" t="s">
        <v>24</v>
      </c>
      <c r="I16" s="7" t="s">
        <v>37</v>
      </c>
      <c r="J16" s="7" t="s">
        <v>38</v>
      </c>
      <c r="K16" s="7" t="s">
        <v>39</v>
      </c>
      <c r="L16" s="7" t="s">
        <v>40</v>
      </c>
      <c r="M16" s="7" t="s">
        <v>41</v>
      </c>
      <c r="N16" s="7" t="s">
        <v>42</v>
      </c>
    </row>
    <row r="17" spans="6:14">
      <c r="F17" s="5" t="s">
        <v>30</v>
      </c>
      <c r="G17" s="5">
        <v>-4.5493119957772175</v>
      </c>
      <c r="H17" s="5">
        <v>4.0549567161759344E-2</v>
      </c>
      <c r="I17" s="5">
        <v>-112.19138240438457</v>
      </c>
      <c r="J17" s="5">
        <v>1.0669320316778855E-9</v>
      </c>
      <c r="K17" s="5">
        <v>-4.6535479765661512</v>
      </c>
      <c r="L17" s="5">
        <v>-4.4450760149882838</v>
      </c>
      <c r="M17" s="5">
        <v>-4.6535479765661512</v>
      </c>
      <c r="N17" s="5">
        <v>-4.4450760149882838</v>
      </c>
    </row>
    <row r="18" spans="6:14" ht="15.75" thickBot="1">
      <c r="F18" s="6" t="s">
        <v>43</v>
      </c>
      <c r="G18" s="6">
        <v>0.28639230526645632</v>
      </c>
      <c r="H18" s="6">
        <v>1.3816420195820026E-2</v>
      </c>
      <c r="I18" s="6">
        <v>20.728401511203352</v>
      </c>
      <c r="J18" s="6">
        <v>4.8384433591480499E-6</v>
      </c>
      <c r="K18" s="6">
        <v>0.25087606647756261</v>
      </c>
      <c r="L18" s="6">
        <v>0.32190854405535002</v>
      </c>
      <c r="M18" s="6">
        <v>0.25087606647756261</v>
      </c>
      <c r="N18" s="6">
        <v>0.32190854405535002</v>
      </c>
    </row>
    <row r="20" spans="6:14">
      <c r="G20">
        <f>10^G17</f>
        <v>2.8228513188860217E-5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Regression </vt:lpstr>
      <vt:lpstr>Markov (5 states)</vt:lpstr>
      <vt:lpstr>Markov (4 states)</vt:lpstr>
      <vt:lpstr>Shell Method</vt:lpstr>
      <vt:lpstr>P7.1</vt:lpstr>
      <vt:lpstr>P7.2</vt:lpstr>
      <vt:lpstr>P7.3</vt:lpstr>
      <vt:lpstr>P7.9</vt:lpstr>
      <vt:lpstr>P7.10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 fawzi</dc:creator>
  <cp:lastModifiedBy>mohammad fawzi</cp:lastModifiedBy>
  <dcterms:created xsi:type="dcterms:W3CDTF">2021-06-02T06:08:38Z</dcterms:created>
  <dcterms:modified xsi:type="dcterms:W3CDTF">2021-06-20T12:36:58Z</dcterms:modified>
</cp:coreProperties>
</file>